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9990" windowHeight="7065" tabRatio="873" activeTab="0"/>
  </bookViews>
  <sheets>
    <sheet name="Workbook Description" sheetId="1" r:id="rId1"/>
    <sheet name="Master Data" sheetId="2" r:id="rId2"/>
    <sheet name="data2" sheetId="3" r:id="rId3"/>
    <sheet name="data1" sheetId="4" r:id="rId4"/>
    <sheet name="Proposed Spec Lines" sheetId="5" r:id="rId5"/>
    <sheet name="Spec Analysis_ScreenSize" sheetId="6" r:id="rId6"/>
    <sheet name="Power Matrix" sheetId="7" r:id="rId7"/>
    <sheet name="Savings" sheetId="8" r:id="rId8"/>
    <sheet name="Power Charts" sheetId="9" r:id="rId9"/>
  </sheets>
  <definedNames>
    <definedName name="_xlnm.Print_Area" localSheetId="5">'Spec Analysis_ScreenSize'!$A$1:$O$142</definedName>
  </definedNames>
  <calcPr fullCalcOnLoad="1"/>
</workbook>
</file>

<file path=xl/comments2.xml><?xml version="1.0" encoding="utf-8"?>
<comments xmlns="http://schemas.openxmlformats.org/spreadsheetml/2006/main">
  <authors>
    <author>MCMcWhinney</author>
  </authors>
  <commentList>
    <comment ref="AM1" authorId="0">
      <text>
        <r>
          <rPr>
            <b/>
            <sz val="8"/>
            <rFont val="Tahoma"/>
            <family val="0"/>
          </rPr>
          <t>MCMcWhinney:</t>
        </r>
        <r>
          <rPr>
            <sz val="8"/>
            <rFont val="Tahoma"/>
            <family val="0"/>
          </rPr>
          <t xml:space="preserve">
Takes into account products with max brightness less than prescribed levels
</t>
        </r>
      </text>
    </comment>
    <comment ref="AN1" authorId="0">
      <text>
        <r>
          <rPr>
            <b/>
            <sz val="8"/>
            <rFont val="Tahoma"/>
            <family val="0"/>
          </rPr>
          <t>MCMcWhinney:</t>
        </r>
        <r>
          <rPr>
            <sz val="8"/>
            <rFont val="Tahoma"/>
            <family val="0"/>
          </rPr>
          <t xml:space="preserve">
Takes into account products with max brightness lower than prescribed level</t>
        </r>
      </text>
    </comment>
    <comment ref="AO1" authorId="0">
      <text>
        <r>
          <rPr>
            <b/>
            <sz val="8"/>
            <rFont val="Tahoma"/>
            <family val="0"/>
          </rPr>
          <t>MCMcWhinney:</t>
        </r>
        <r>
          <rPr>
            <sz val="8"/>
            <rFont val="Tahoma"/>
            <family val="0"/>
          </rPr>
          <t xml:space="preserve">
Takes into account products with ABC, used in spec analysis</t>
        </r>
      </text>
    </comment>
    <comment ref="AP1" authorId="0">
      <text>
        <r>
          <rPr>
            <b/>
            <sz val="8"/>
            <rFont val="Tahoma"/>
            <family val="0"/>
          </rPr>
          <t>MCMcWhinney:</t>
        </r>
        <r>
          <rPr>
            <sz val="8"/>
            <rFont val="Tahoma"/>
            <family val="0"/>
          </rPr>
          <t xml:space="preserve">
Takes into account products with ABC, used in spec analysis</t>
        </r>
      </text>
    </comment>
  </commentList>
</comments>
</file>

<file path=xl/sharedStrings.xml><?xml version="1.0" encoding="utf-8"?>
<sst xmlns="http://schemas.openxmlformats.org/spreadsheetml/2006/main" count="1960" uniqueCount="311">
  <si>
    <t>Index</t>
  </si>
  <si>
    <t>1920x1200</t>
  </si>
  <si>
    <t>1680x1050</t>
  </si>
  <si>
    <t>1280x1024</t>
  </si>
  <si>
    <t>1440x900</t>
  </si>
  <si>
    <t>1280x800</t>
  </si>
  <si>
    <t>1024X768</t>
  </si>
  <si>
    <t>1366X768</t>
  </si>
  <si>
    <t>1280X1024</t>
  </si>
  <si>
    <t>1440X900</t>
  </si>
  <si>
    <t>1680X1050</t>
  </si>
  <si>
    <t>1920X1200</t>
  </si>
  <si>
    <t>Resolution</t>
  </si>
  <si>
    <t>Total Pixels</t>
  </si>
  <si>
    <t>1024x768</t>
  </si>
  <si>
    <t>1280x720</t>
  </si>
  <si>
    <t xml:space="preserve">1920x1200 </t>
  </si>
  <si>
    <t>1920x1080</t>
  </si>
  <si>
    <t>1360x768</t>
  </si>
  <si>
    <t>800x480</t>
  </si>
  <si>
    <t>800x600</t>
  </si>
  <si>
    <t>480x234</t>
  </si>
  <si>
    <t>720x480</t>
  </si>
  <si>
    <t>1365x768</t>
  </si>
  <si>
    <t>1366x768</t>
  </si>
  <si>
    <t>1080x1920</t>
  </si>
  <si>
    <t>Viewable Screen Size (diagonal inches)</t>
  </si>
  <si>
    <r>
      <t>Luminance Setting per ENERGY STAR  Test Procedure Requirements (cd/m</t>
    </r>
    <r>
      <rPr>
        <vertAlign val="superscript"/>
        <sz val="10"/>
        <color indexed="8"/>
        <rFont val="Arial"/>
        <family val="2"/>
      </rPr>
      <t>2</t>
    </r>
    <r>
      <rPr>
        <sz val="10"/>
        <color indexed="8"/>
        <rFont val="Arial"/>
        <family val="2"/>
      </rPr>
      <t>)</t>
    </r>
  </si>
  <si>
    <r>
      <t>Factory Default Luminance (cd/m</t>
    </r>
    <r>
      <rPr>
        <vertAlign val="superscript"/>
        <sz val="10"/>
        <color indexed="8"/>
        <rFont val="Arial"/>
        <family val="2"/>
      </rPr>
      <t>2</t>
    </r>
    <r>
      <rPr>
        <sz val="10"/>
        <color indexed="8"/>
        <rFont val="Arial"/>
        <family val="2"/>
      </rPr>
      <t>)</t>
    </r>
  </si>
  <si>
    <t>Product</t>
  </si>
  <si>
    <t>LCD Monitor</t>
  </si>
  <si>
    <t>Digital Photo Frame</t>
  </si>
  <si>
    <t>Prof Display</t>
  </si>
  <si>
    <t>On Power at ENERGY STAR Luminance (W)</t>
  </si>
  <si>
    <t>On Power at Default Luminance (W)</t>
  </si>
  <si>
    <t>Sleep Power (W)</t>
  </si>
  <si>
    <t>Off Power (W)</t>
  </si>
  <si>
    <t>Viewable Screen Area (in2)</t>
  </si>
  <si>
    <t>Total Megapixels</t>
  </si>
  <si>
    <t>predicted equation</t>
  </si>
  <si>
    <t>constant=</t>
  </si>
  <si>
    <t>b (Megapixel)</t>
  </si>
  <si>
    <t>b (Screen Area)</t>
  </si>
  <si>
    <t>Monitor, 17"</t>
  </si>
  <si>
    <t>Monitor, 19"</t>
  </si>
  <si>
    <t>Prof Displays, All</t>
  </si>
  <si>
    <t>Digital Frames, All</t>
  </si>
  <si>
    <t>Monitor, 15 and 16"</t>
  </si>
  <si>
    <t>Qualifying Rates by Screen Size, does not include CRT</t>
  </si>
  <si>
    <t>count (n)</t>
  </si>
  <si>
    <t>Overall</t>
  </si>
  <si>
    <t>Line Estimate</t>
  </si>
  <si>
    <t>MP</t>
  </si>
  <si>
    <t>All</t>
  </si>
  <si>
    <t>Predicted Best Fit</t>
  </si>
  <si>
    <t>SA</t>
  </si>
  <si>
    <t>LCD Monitors</t>
  </si>
  <si>
    <t>0.92-1.05</t>
  </si>
  <si>
    <t>n</t>
  </si>
  <si>
    <t>Resolution (Megapixels)</t>
  </si>
  <si>
    <t>Per Unit Reduction (W)</t>
  </si>
  <si>
    <t>Average Baseline Power (W)</t>
  </si>
  <si>
    <t>Average E* Power (W)</t>
  </si>
  <si>
    <t>Per Unit Percent Reduction</t>
  </si>
  <si>
    <t>N/S</t>
  </si>
  <si>
    <t>Notes:</t>
  </si>
  <si>
    <t>Proposal 1</t>
  </si>
  <si>
    <t>1. Predicted best fit is a result of analyzing the Data_LCD_Only dataset using a statistical package, Microsiris.</t>
  </si>
  <si>
    <t xml:space="preserve">   The statistical analysis set On as the dependent with Megapixel and Screen area as the independent.</t>
  </si>
  <si>
    <t xml:space="preserve">    The resulting coefficients and constant explained over 70% of the variance between the dependent(s) and independent variables.</t>
  </si>
  <si>
    <t>N=141</t>
  </si>
  <si>
    <t>1.  CRT were removed from the analysis</t>
  </si>
  <si>
    <t>ENERGY STAR Required On Power (W)</t>
  </si>
  <si>
    <t>Pass (1) or Fail (0) ESTAR Criteria</t>
  </si>
  <si>
    <t>Pass (1) or Fail (0) ESTAR Criteria with Sleep Power and Off Power</t>
  </si>
  <si>
    <t>Digital Picture Frames, All</t>
  </si>
  <si>
    <t>Professional Displays, All</t>
  </si>
  <si>
    <t>Per Unit % Reduction</t>
  </si>
  <si>
    <t>Greater than or equal to 30" viewable diagonal</t>
  </si>
  <si>
    <t>pass  all modes (n)</t>
  </si>
  <si>
    <t>% pass all modes</t>
  </si>
  <si>
    <t>pass  on mode (n)</t>
  </si>
  <si>
    <t>% pass on mode</t>
  </si>
  <si>
    <t>Baseline On Power (W)</t>
  </si>
  <si>
    <t>ESTAR On Power (W)</t>
  </si>
  <si>
    <t>Baseline Sleep Power (W)</t>
  </si>
  <si>
    <t>ESTAR Sleep Power (W)</t>
  </si>
  <si>
    <t>Baseline Off Power (W)</t>
  </si>
  <si>
    <t>ESTAR Off Power (W)</t>
  </si>
  <si>
    <t>LCD Monitors, All</t>
  </si>
  <si>
    <t>Test Info</t>
  </si>
  <si>
    <t xml:space="preserve">Display </t>
  </si>
  <si>
    <t>Inputs and Other Features</t>
  </si>
  <si>
    <t>On Power Test Data</t>
  </si>
  <si>
    <t>Low Power Mode Test Data</t>
  </si>
  <si>
    <t>External power supply (EPS)</t>
  </si>
  <si>
    <t>Date of Test</t>
  </si>
  <si>
    <t>Product Type (Select)</t>
  </si>
  <si>
    <t>Display Type (Select)</t>
  </si>
  <si>
    <t>LCD Panel Technology (select if applicable)</t>
  </si>
  <si>
    <t>Resolution (pixels x pixels)</t>
  </si>
  <si>
    <t>Aspect Ratio</t>
  </si>
  <si>
    <t>Viewable Display Width (inches)</t>
  </si>
  <si>
    <t>Viewable Display Height (inches)</t>
  </si>
  <si>
    <t>Screen Area (sq. inches)</t>
  </si>
  <si>
    <t>Network Peripheral Ports Present (Select)</t>
  </si>
  <si>
    <t>Audio/Video Ports Present (examples below)</t>
  </si>
  <si>
    <t>Automatic Brightness Control (Select)</t>
  </si>
  <si>
    <t>Qualified as ENERGY STAR Computer Monitor (Select)</t>
  </si>
  <si>
    <t>Qualified as ENERGY STAR Television (Select)</t>
  </si>
  <si>
    <t xml:space="preserve">Other Features (examples listed below) </t>
  </si>
  <si>
    <t>Video Input Used for Test (e.g. HDMI, display port)</t>
  </si>
  <si>
    <t>On Power at Minimum Luminance (W)</t>
  </si>
  <si>
    <t>On Power at Maximum Luminance (W)</t>
  </si>
  <si>
    <t>Type of EPS
(Select)</t>
  </si>
  <si>
    <t>Nameplate Output Power
Watt</t>
  </si>
  <si>
    <t>Minimum Average Efficiency in Active Mode
Decimal</t>
  </si>
  <si>
    <t>Maximum Power in No-Load
Watt</t>
  </si>
  <si>
    <t>Monitor</t>
  </si>
  <si>
    <t>LCD-CCFL</t>
  </si>
  <si>
    <t>VA</t>
  </si>
  <si>
    <t>VGA,
DVI-D,
HDMI,
S-Video,
Composite(C),
DisplayPort</t>
  </si>
  <si>
    <t>Y</t>
  </si>
  <si>
    <t>N</t>
  </si>
  <si>
    <t>Speakers
Audio Amplifiers
Ambient Light Sensor
Remote control</t>
  </si>
  <si>
    <t>DVI-D</t>
  </si>
  <si>
    <t>CRT</t>
  </si>
  <si>
    <t>TN</t>
  </si>
  <si>
    <t>AC-DC</t>
  </si>
  <si>
    <t>VGA,
DVI-D,
HDMI,</t>
  </si>
  <si>
    <t xml:space="preserve">Speakers
Audio Amplifiers
</t>
  </si>
  <si>
    <t>VGA+DVI</t>
  </si>
  <si>
    <t>VGA</t>
  </si>
  <si>
    <t>DVI</t>
  </si>
  <si>
    <t>USB</t>
  </si>
  <si>
    <t>DVI-I</t>
  </si>
  <si>
    <t>Speakers</t>
  </si>
  <si>
    <t>03/26/2008</t>
  </si>
  <si>
    <t>-</t>
  </si>
  <si>
    <t>LCD-LED</t>
  </si>
  <si>
    <t>IPS</t>
  </si>
  <si>
    <t>Ethernet</t>
  </si>
  <si>
    <t>Other</t>
  </si>
  <si>
    <t>VGA, DVI-D, Audio</t>
  </si>
  <si>
    <t>None</t>
  </si>
  <si>
    <t>VGA, DVI-D, Audio, USB</t>
  </si>
  <si>
    <t>VGA, DVI-D</t>
  </si>
  <si>
    <t>16:10</t>
  </si>
  <si>
    <t>D-sub</t>
  </si>
  <si>
    <t xml:space="preserve">VGA </t>
  </si>
  <si>
    <t>Plasma</t>
  </si>
  <si>
    <t>4:3</t>
  </si>
  <si>
    <t>VGA display port</t>
  </si>
  <si>
    <t>16:9</t>
  </si>
  <si>
    <t>HDMI</t>
  </si>
  <si>
    <t>Audio Amplifiers</t>
  </si>
  <si>
    <t>D-SUB</t>
  </si>
  <si>
    <t>3.5mm stereo audio out</t>
  </si>
  <si>
    <t>mp3
Video
Built in speakers for MP3, timer</t>
  </si>
  <si>
    <t>CF card</t>
  </si>
  <si>
    <t>N/T</t>
  </si>
  <si>
    <t>mp3
Video
Clock, Calendar, Alarm
Interchangable frames</t>
  </si>
  <si>
    <t>SD card</t>
  </si>
  <si>
    <t>N/A</t>
  </si>
  <si>
    <t>802.11b/g</t>
  </si>
  <si>
    <t>mp3
WMA
Clock, Calendar</t>
  </si>
  <si>
    <t>Internal memory</t>
  </si>
  <si>
    <t>timer</t>
  </si>
  <si>
    <t>mp3
Mjpeg Video
Clock, Calendar, Alarm</t>
  </si>
  <si>
    <t>16 : 9</t>
  </si>
  <si>
    <t>9:16</t>
  </si>
  <si>
    <t>LCD</t>
  </si>
  <si>
    <t>VGA/DVI-D/HDMI/S-VIDEO/Component 5</t>
  </si>
  <si>
    <t>Remote control</t>
  </si>
  <si>
    <t>CVBS</t>
  </si>
  <si>
    <t>Speaker</t>
  </si>
  <si>
    <t>USB host and slave</t>
  </si>
  <si>
    <t>VGA/DVI-D/Composite(C)
Component 3 wire (C3)</t>
  </si>
  <si>
    <t>D-Sub</t>
  </si>
  <si>
    <t>NA</t>
  </si>
  <si>
    <t>D-Sub/DVI</t>
  </si>
  <si>
    <t>D-Sub/DVI/HDMI</t>
  </si>
  <si>
    <t>53..3</t>
  </si>
  <si>
    <t>SPEAKER</t>
  </si>
  <si>
    <t>VGA and DVI-D</t>
  </si>
  <si>
    <t>5:4</t>
  </si>
  <si>
    <r>
      <t>VGA</t>
    </r>
  </si>
  <si>
    <r>
      <t>Luminance Setting per ENERGY STAR  Test Procedure Requirements (cd/m</t>
    </r>
    <r>
      <rPr>
        <vertAlign val="superscript"/>
        <sz val="8"/>
        <color indexed="8"/>
        <rFont val="Arial"/>
        <family val="2"/>
      </rPr>
      <t>2</t>
    </r>
    <r>
      <rPr>
        <sz val="8"/>
        <color indexed="8"/>
        <rFont val="Arial"/>
        <family val="2"/>
      </rPr>
      <t>)</t>
    </r>
  </si>
  <si>
    <t>Energy Star Sleep requirement (W)</t>
  </si>
  <si>
    <t>Energy Star Off requirement (W)</t>
  </si>
  <si>
    <t>Average Market On (W)</t>
  </si>
  <si>
    <t>Energy Star Case On (W)</t>
  </si>
  <si>
    <t>Average by Screen Size</t>
  </si>
  <si>
    <t>Product Type</t>
  </si>
  <si>
    <t xml:space="preserve">    -15 and 16"</t>
  </si>
  <si>
    <t xml:space="preserve">    -17"</t>
  </si>
  <si>
    <t xml:space="preserve">    -19"</t>
  </si>
  <si>
    <t>Expected 2009 US sales (000)</t>
  </si>
  <si>
    <t>Base On Power (W)</t>
  </si>
  <si>
    <t>Base Sleep Power (W)</t>
  </si>
  <si>
    <t>Base Off Power (W)</t>
  </si>
  <si>
    <t>ENERGY STAR Market Potential</t>
  </si>
  <si>
    <t>Energy Star On Power (W)</t>
  </si>
  <si>
    <t>Energy Star Sleep Power (W)</t>
  </si>
  <si>
    <t>Energy Star Off Power (W)</t>
  </si>
  <si>
    <t>Usage Assumptions (hrs/yr)</t>
  </si>
  <si>
    <t>On (hrs/yr)</t>
  </si>
  <si>
    <t>Sleep (hrs/yr)</t>
  </si>
  <si>
    <t>Off (hrs/yr)</t>
  </si>
  <si>
    <t>Base kWh/yr</t>
  </si>
  <si>
    <t>ESTAR (kWh/yr)</t>
  </si>
  <si>
    <t>Percent Savings</t>
  </si>
  <si>
    <t>Based on usage for an enabled and turned off computer of:</t>
  </si>
  <si>
    <t>1104 hours per year sleep</t>
  </si>
  <si>
    <t>6854 hours per year off</t>
  </si>
  <si>
    <t>803 hours per year active</t>
  </si>
  <si>
    <t>and a frequence of</t>
  </si>
  <si>
    <t>15% enabled and turned off</t>
  </si>
  <si>
    <t>3% not enabled and turned off</t>
  </si>
  <si>
    <t>66% enabled and left on</t>
  </si>
  <si>
    <t>16% not enabled and left on</t>
  </si>
  <si>
    <t>see_</t>
  </si>
  <si>
    <t>Sanchez, Marla C., Richard E. Brown, Carrie Webber, and Gregory K. Homan. 2008. Savings estimates for the United States Environmental Protection Agency's ENERGY STAR voluntary product labeling program. Energy Policy. vol. 36, no. 6, pp. 2098-2108 (also LBNL-329E).</t>
  </si>
  <si>
    <t>Digital Picture Frame</t>
  </si>
  <si>
    <t>Office Monitor</t>
  </si>
  <si>
    <t>UES (kWh/yr)</t>
  </si>
  <si>
    <t>Professional Displays</t>
  </si>
  <si>
    <t>Monitor, &gt;  19"</t>
  </si>
  <si>
    <t>Monitor, &gt; 19 "</t>
  </si>
  <si>
    <t xml:space="preserve">    -Greater than 19"</t>
  </si>
  <si>
    <t>SA Only</t>
  </si>
  <si>
    <t>SA and MP (at 0.5)</t>
  </si>
  <si>
    <t>SA and MP (at 1)</t>
  </si>
  <si>
    <t>SA and MP (at 1.3)</t>
  </si>
  <si>
    <t>SA and MP (at 1.76)</t>
  </si>
  <si>
    <t>SA and MP (at 2.3)</t>
  </si>
  <si>
    <t>SA and MP (at 1.0)</t>
  </si>
  <si>
    <t>Average by Screen Size (W)</t>
  </si>
  <si>
    <t>Office LCD Monitor</t>
  </si>
  <si>
    <t xml:space="preserve">    -Shipment Weighted LCD Monitors</t>
  </si>
  <si>
    <t>All Included Displays</t>
  </si>
  <si>
    <t>Delta On (W)</t>
  </si>
  <si>
    <t>This workbook was created by:</t>
  </si>
  <si>
    <t>Marla Sanchez</t>
  </si>
  <si>
    <t>Lawrence Berkeley National Laboratory</t>
  </si>
  <si>
    <t>mcsanchez@lbl.gov</t>
  </si>
  <si>
    <t>412.653.2949</t>
  </si>
  <si>
    <t>standard monitor</t>
  </si>
  <si>
    <t>Lifetime Savings (kWh)</t>
  </si>
  <si>
    <t>Lifetime lbs CO2</t>
  </si>
  <si>
    <t>% Diff</t>
  </si>
  <si>
    <r>
      <t>Minimum Luminance (cd/m</t>
    </r>
    <r>
      <rPr>
        <vertAlign val="superscript"/>
        <sz val="8"/>
        <color indexed="8"/>
        <rFont val="Arial"/>
        <family val="2"/>
      </rPr>
      <t>2</t>
    </r>
    <r>
      <rPr>
        <sz val="8"/>
        <color indexed="8"/>
        <rFont val="Arial"/>
        <family val="2"/>
      </rPr>
      <t>)</t>
    </r>
  </si>
  <si>
    <r>
      <t>Factory Default Luminance (cd/m</t>
    </r>
    <r>
      <rPr>
        <vertAlign val="superscript"/>
        <sz val="8"/>
        <color indexed="8"/>
        <rFont val="Arial"/>
        <family val="2"/>
      </rPr>
      <t>2</t>
    </r>
    <r>
      <rPr>
        <sz val="8"/>
        <color indexed="8"/>
        <rFont val="Arial"/>
        <family val="2"/>
      </rPr>
      <t>)</t>
    </r>
  </si>
  <si>
    <r>
      <t>Maximum Luminance (cd/m</t>
    </r>
    <r>
      <rPr>
        <vertAlign val="superscript"/>
        <sz val="8"/>
        <color indexed="8"/>
        <rFont val="Arial"/>
        <family val="2"/>
      </rPr>
      <t>2</t>
    </r>
    <r>
      <rPr>
        <sz val="8"/>
        <color indexed="8"/>
        <rFont val="Arial"/>
        <family val="2"/>
      </rPr>
      <t>)</t>
    </r>
  </si>
  <si>
    <t>BD</t>
  </si>
  <si>
    <t>% Dif</t>
  </si>
  <si>
    <t>Predicted E* Test (W)</t>
  </si>
  <si>
    <t>Actual  E* Test (W)</t>
  </si>
  <si>
    <t>Proposed luminance level (cd/m2)</t>
  </si>
  <si>
    <t>Slope</t>
  </si>
  <si>
    <t>Intercept</t>
  </si>
  <si>
    <t>Index value</t>
  </si>
  <si>
    <t>Perscribed Lum (cd/m2)</t>
  </si>
  <si>
    <t>On Power at Perscribed lum (W)</t>
  </si>
  <si>
    <t xml:space="preserve"> </t>
  </si>
  <si>
    <t>ABC</t>
  </si>
  <si>
    <t xml:space="preserve">estimated % at min </t>
  </si>
  <si>
    <t>estimated % normal</t>
  </si>
  <si>
    <t>Estimated On Power with ABC (W)</t>
  </si>
  <si>
    <t>Estimated On Power at Proposed  Luminance level (W)</t>
  </si>
  <si>
    <t>Estimated Luminance Level with ABC (cd/m2)</t>
  </si>
  <si>
    <t>Unit 53 min. luminance is a typo</t>
  </si>
  <si>
    <t>Unit 80 appears to have min. vs default entries reversed for luminance</t>
  </si>
  <si>
    <t>Shaded red in columns AM-AO means that there was a greater than 10% difference between the predicted on power consumption at the current E* test luminance and the on power actually reported by manuf. At that luminance</t>
  </si>
  <si>
    <t>Shaded green columns are plasmas, we had no data for extrapolation and are currently using industry reported data</t>
  </si>
  <si>
    <t>No E* test data submitted</t>
  </si>
  <si>
    <t>1.  Master Data</t>
  </si>
  <si>
    <t>Contains data found in ICF spreadseet</t>
  </si>
  <si>
    <t>ENERGY_STAR_Displays_Dataset_07_24_08.xls</t>
  </si>
  <si>
    <t>This page contains the following analysis:</t>
  </si>
  <si>
    <t>-Industry data extrapolated to 235 nits and 400 nits based on screen size using luminance to power relationships for individual models summarized in data2 and calculated in data1 worksheets.</t>
  </si>
  <si>
    <t xml:space="preserve">2.  Data 2 </t>
  </si>
  <si>
    <t>Contains final extrapolation slope and intercepts by index number</t>
  </si>
  <si>
    <t>3.  Data 1</t>
  </si>
  <si>
    <t>Contains data points for min, max, ESTAR, and default lum and power respectively and the slope and intercept calcs for each indexed model</t>
  </si>
  <si>
    <t>4.  Proposed spec lines</t>
  </si>
  <si>
    <t>5.  Spec Analysis_ScreenSize</t>
  </si>
  <si>
    <t>Contains the following analysis:</t>
  </si>
  <si>
    <t>-estimation of perscribed lum test level for &lt; 30" and &gt; 30" screens</t>
  </si>
  <si>
    <t>estimation of models that pass/fail specification for all modes</t>
  </si>
  <si>
    <t>-estimation of wattage reduction for spec by mode</t>
  </si>
  <si>
    <t>-summary of pass rates by screen size</t>
  </si>
  <si>
    <t>6.  Power Matrix</t>
  </si>
  <si>
    <t>-estimation of wattage reductions and % savings by resolution and screen size, and product type</t>
  </si>
  <si>
    <t>7.  Savings</t>
  </si>
  <si>
    <t>-estimation of UES for all product types</t>
  </si>
  <si>
    <t>8.  Power charts</t>
  </si>
  <si>
    <t>-summary graphs</t>
  </si>
  <si>
    <t>Contains inputs for specification equations for power and ABC</t>
  </si>
  <si>
    <t>na</t>
  </si>
  <si>
    <t>Final Power at Proposed Luminance level (W)</t>
  </si>
  <si>
    <t>Final luminance level (cd/m2)</t>
  </si>
  <si>
    <t>Sanchez updated max reported due to discrepency in original data</t>
  </si>
  <si>
    <t>Monitor, 17" and 19"</t>
  </si>
  <si>
    <t>2.  Assumes on power at prescribed luminance</t>
  </si>
  <si>
    <t>Less than 30" viewable diagonal, less than or equal to 1.1 MP</t>
  </si>
  <si>
    <t>Less than 30" viewable diagonal, greater than o1.1 MP</t>
  </si>
  <si>
    <t>-Industry data extrapolated to account for ABC</t>
  </si>
  <si>
    <t>October 20.2008</t>
  </si>
  <si>
    <t>1152x864</t>
  </si>
  <si>
    <t>1920x 080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</si>
</sst>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 "/>
    <numFmt numFmtId="166" formatCode="0.00_ "/>
    <numFmt numFmtId="167" formatCode="0.000"/>
    <numFmt numFmtId="168" formatCode="0.0000"/>
    <numFmt numFmtId="169" formatCode="0.00000"/>
    <numFmt numFmtId="170" formatCode="0.00000000000000"/>
    <numFmt numFmtId="171" formatCode="0.0000000000000"/>
    <numFmt numFmtId="172" formatCode="0.000000000000"/>
    <numFmt numFmtId="173" formatCode="0.00000000000"/>
    <numFmt numFmtId="174" formatCode="0.0000000000"/>
    <numFmt numFmtId="175" formatCode="0.000000000"/>
    <numFmt numFmtId="176" formatCode="0.00000000"/>
    <numFmt numFmtId="177" formatCode="0.0000000"/>
    <numFmt numFmtId="178" formatCode="0.000000"/>
    <numFmt numFmtId="179" formatCode="0.0%"/>
    <numFmt numFmtId="180" formatCode="m/d/yy;@"/>
    <numFmt numFmtId="181" formatCode="0_);[Red]\(0\)"/>
    <numFmt numFmtId="182" formatCode="0.00_);\(0.00\)"/>
    <numFmt numFmtId="183" formatCode="0.000%"/>
    <numFmt numFmtId="184" formatCode="0.0000%"/>
    <numFmt numFmtId="185" formatCode="&quot;Yes&quot;;&quot;Yes&quot;;&quot;No&quot;"/>
    <numFmt numFmtId="186" formatCode="&quot;True&quot;;&quot;True&quot;;&quot;False&quot;"/>
    <numFmt numFmtId="187" formatCode="&quot;On&quot;;&quot;On&quot;;&quot;Off&quot;"/>
  </numFmts>
  <fonts count="71">
    <font>
      <sz val="10"/>
      <name val="Arial"/>
      <family val="0"/>
    </font>
    <font>
      <b/>
      <sz val="10"/>
      <name val="Arial"/>
      <family val="2"/>
    </font>
    <font>
      <sz val="8"/>
      <name val="Arial"/>
      <family val="2"/>
    </font>
    <font>
      <sz val="12"/>
      <name val="隶书"/>
      <family val="3"/>
    </font>
    <font>
      <sz val="10"/>
      <color indexed="8"/>
      <name val="Arial"/>
      <family val="2"/>
    </font>
    <font>
      <vertAlign val="superscript"/>
      <sz val="10"/>
      <color indexed="8"/>
      <name val="Arial"/>
      <family val="2"/>
    </font>
    <font>
      <sz val="10"/>
      <color indexed="10"/>
      <name val="Arial"/>
      <family val="2"/>
    </font>
    <font>
      <sz val="11"/>
      <color indexed="8"/>
      <name val="Calibri"/>
      <family val="2"/>
    </font>
    <font>
      <sz val="11"/>
      <color indexed="8"/>
      <name val="宋体"/>
      <family val="0"/>
    </font>
    <font>
      <sz val="12"/>
      <color indexed="8"/>
      <name val="新細明體"/>
      <family val="1"/>
    </font>
    <font>
      <sz val="12"/>
      <name val="新細明體"/>
      <family val="1"/>
    </font>
    <font>
      <sz val="11"/>
      <color indexed="9"/>
      <name val="Calibri"/>
      <family val="2"/>
    </font>
    <font>
      <sz val="11"/>
      <color indexed="9"/>
      <name val="宋体"/>
      <family val="0"/>
    </font>
    <font>
      <sz val="12"/>
      <color indexed="9"/>
      <name val="新細明體"/>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0"/>
      <name val="新細明體"/>
      <family val="1"/>
    </font>
    <font>
      <b/>
      <sz val="12"/>
      <color indexed="8"/>
      <name val="新細明體"/>
      <family val="1"/>
    </font>
    <font>
      <sz val="12"/>
      <color indexed="20"/>
      <name val="新細明體"/>
      <family val="1"/>
    </font>
    <font>
      <sz val="11"/>
      <color indexed="17"/>
      <name val="宋体"/>
      <family val="0"/>
    </font>
    <font>
      <sz val="12"/>
      <color indexed="17"/>
      <name val="新細明體"/>
      <family val="1"/>
    </font>
    <font>
      <sz val="11"/>
      <color indexed="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9"/>
      <name val="宋体"/>
      <family val="0"/>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9"/>
      <name val="新細明體"/>
      <family val="1"/>
    </font>
    <font>
      <b/>
      <sz val="11"/>
      <color indexed="8"/>
      <name val="宋体"/>
      <family val="0"/>
    </font>
    <font>
      <i/>
      <sz val="11"/>
      <color indexed="23"/>
      <name val="宋体"/>
      <family val="0"/>
    </font>
    <font>
      <b/>
      <sz val="12"/>
      <color indexed="52"/>
      <name val="新細明體"/>
      <family val="1"/>
    </font>
    <font>
      <i/>
      <sz val="12"/>
      <color indexed="23"/>
      <name val="新細明體"/>
      <family val="1"/>
    </font>
    <font>
      <sz val="12"/>
      <color indexed="10"/>
      <name val="新細明體"/>
      <family val="1"/>
    </font>
    <font>
      <sz val="11"/>
      <color indexed="10"/>
      <name val="宋体"/>
      <family val="0"/>
    </font>
    <font>
      <b/>
      <sz val="11"/>
      <color indexed="52"/>
      <name val="宋体"/>
      <family val="0"/>
    </font>
    <font>
      <sz val="12"/>
      <color indexed="62"/>
      <name val="新細明體"/>
      <family val="1"/>
    </font>
    <font>
      <b/>
      <sz val="12"/>
      <color indexed="63"/>
      <name val="新細明體"/>
      <family val="1"/>
    </font>
    <font>
      <sz val="11"/>
      <color indexed="62"/>
      <name val="宋体"/>
      <family val="0"/>
    </font>
    <font>
      <b/>
      <sz val="11"/>
      <color indexed="63"/>
      <name val="宋体"/>
      <family val="0"/>
    </font>
    <font>
      <sz val="11"/>
      <color indexed="60"/>
      <name val="宋体"/>
      <family val="0"/>
    </font>
    <font>
      <sz val="12"/>
      <color indexed="52"/>
      <name val="新細明體"/>
      <family val="1"/>
    </font>
    <font>
      <sz val="11"/>
      <color indexed="52"/>
      <name val="宋体"/>
      <family val="0"/>
    </font>
    <font>
      <b/>
      <sz val="10"/>
      <color indexed="10"/>
      <name val="Arial"/>
      <family val="2"/>
    </font>
    <font>
      <sz val="8"/>
      <color indexed="8"/>
      <name val="Arial"/>
      <family val="2"/>
    </font>
    <font>
      <vertAlign val="superscript"/>
      <sz val="8"/>
      <color indexed="8"/>
      <name val="Arial"/>
      <family val="2"/>
    </font>
    <font>
      <sz val="8"/>
      <name val="宋体"/>
      <family val="0"/>
    </font>
    <font>
      <sz val="5.75"/>
      <name val="Arial"/>
      <family val="2"/>
    </font>
    <font>
      <b/>
      <sz val="16"/>
      <name val="Arial"/>
      <family val="2"/>
    </font>
    <font>
      <b/>
      <sz val="12"/>
      <name val="Arial"/>
      <family val="2"/>
    </font>
    <font>
      <sz val="8"/>
      <name val="Tahoma"/>
      <family val="0"/>
    </font>
    <font>
      <b/>
      <sz val="8"/>
      <name val="Tahoma"/>
      <family val="0"/>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8"/>
        <bgColor indexed="64"/>
      </patternFill>
    </fill>
    <fill>
      <patternFill patternType="solid">
        <fgColor indexed="50"/>
        <bgColor indexed="64"/>
      </patternFill>
    </fill>
    <fill>
      <patternFill patternType="solid">
        <fgColor indexed="4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medium"/>
      <bottom style="medium"/>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0" borderId="0">
      <alignment/>
      <protection/>
    </xf>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7"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0" fillId="0" borderId="0">
      <alignment/>
      <protection/>
    </xf>
    <xf numFmtId="0" fontId="31" fillId="22" borderId="0" applyNumberFormat="0" applyBorder="0" applyAlignment="0" applyProtection="0"/>
    <xf numFmtId="0" fontId="9" fillId="23" borderId="7" applyNumberFormat="0" applyFont="0" applyAlignment="0" applyProtection="0"/>
    <xf numFmtId="0" fontId="32" fillId="0" borderId="9"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0" fontId="35" fillId="4" borderId="0" applyNumberFormat="0" applyBorder="0" applyAlignment="0" applyProtection="0"/>
    <xf numFmtId="0" fontId="36" fillId="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1" borderId="2" applyNumberFormat="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21" borderId="2" applyNumberFormat="0" applyAlignment="0" applyProtection="0"/>
    <xf numFmtId="0" fontId="47" fillId="0" borderId="9" applyNumberFormat="0" applyFill="0" applyAlignment="0" applyProtection="0"/>
    <xf numFmtId="0" fontId="0" fillId="23" borderId="7" applyNumberFormat="0" applyFont="0" applyAlignment="0" applyProtection="0"/>
    <xf numFmtId="0" fontId="48" fillId="0" borderId="0" applyNumberFormat="0" applyFill="0" applyBorder="0" applyAlignment="0" applyProtection="0"/>
    <xf numFmtId="0" fontId="49" fillId="20"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0" borderId="1" applyNumberFormat="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54" fillId="7" borderId="1" applyNumberFormat="0" applyAlignment="0" applyProtection="0"/>
    <xf numFmtId="0" fontId="55" fillId="20" borderId="8" applyNumberFormat="0" applyAlignment="0" applyProtection="0"/>
    <xf numFmtId="0" fontId="56" fillId="7" borderId="1" applyNumberFormat="0" applyAlignment="0" applyProtection="0"/>
    <xf numFmtId="0" fontId="57" fillId="20" borderId="8" applyNumberFormat="0" applyAlignment="0" applyProtection="0"/>
    <xf numFmtId="0" fontId="58" fillId="22" borderId="0" applyNumberFormat="0" applyBorder="0" applyAlignment="0" applyProtection="0"/>
    <xf numFmtId="0" fontId="59" fillId="0" borderId="6" applyNumberFormat="0" applyFill="0" applyAlignment="0" applyProtection="0"/>
    <xf numFmtId="0" fontId="60" fillId="0" borderId="6" applyNumberFormat="0" applyFill="0" applyAlignment="0" applyProtection="0"/>
  </cellStyleXfs>
  <cellXfs count="490">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0" fillId="0" borderId="10" xfId="0" applyFont="1" applyFill="1" applyBorder="1" applyAlignment="1">
      <alignment horizontal="right"/>
    </xf>
    <xf numFmtId="1" fontId="4" fillId="0" borderId="10" xfId="0" applyNumberFormat="1" applyFont="1" applyFill="1" applyBorder="1" applyAlignment="1">
      <alignment horizontal="right" wrapText="1"/>
    </xf>
    <xf numFmtId="1" fontId="0" fillId="0" borderId="10" xfId="0" applyNumberFormat="1" applyFont="1" applyFill="1" applyBorder="1" applyAlignment="1">
      <alignment horizontal="right" wrapText="1"/>
    </xf>
    <xf numFmtId="1" fontId="0" fillId="0" borderId="0" xfId="0" applyNumberFormat="1" applyFont="1" applyFill="1" applyAlignment="1">
      <alignment horizontal="right"/>
    </xf>
    <xf numFmtId="164" fontId="0" fillId="0" borderId="10" xfId="0" applyNumberFormat="1" applyFont="1" applyFill="1" applyBorder="1" applyAlignment="1">
      <alignment horizontal="right" wrapText="1"/>
    </xf>
    <xf numFmtId="0" fontId="0" fillId="0" borderId="10" xfId="0" applyFont="1" applyFill="1" applyBorder="1" applyAlignment="1">
      <alignment horizontal="right" wrapText="1"/>
    </xf>
    <xf numFmtId="0" fontId="0" fillId="0" borderId="11" xfId="0" applyFont="1" applyFill="1" applyBorder="1" applyAlignment="1">
      <alignment horizontal="right"/>
    </xf>
    <xf numFmtId="0" fontId="0" fillId="0" borderId="0" xfId="0" applyFont="1" applyFill="1" applyAlignment="1">
      <alignment horizontal="right" wrapText="1"/>
    </xf>
    <xf numFmtId="164" fontId="0" fillId="0" borderId="0" xfId="0" applyNumberFormat="1" applyFont="1" applyFill="1" applyAlignment="1">
      <alignment horizontal="right"/>
    </xf>
    <xf numFmtId="0" fontId="0" fillId="0" borderId="0" xfId="0" applyFont="1" applyFill="1" applyBorder="1" applyAlignment="1">
      <alignment horizontal="left"/>
    </xf>
    <xf numFmtId="0" fontId="1" fillId="0" borderId="0" xfId="0" applyFont="1" applyFill="1" applyBorder="1" applyAlignment="1">
      <alignment horizontal="right"/>
    </xf>
    <xf numFmtId="9" fontId="0" fillId="0" borderId="0" xfId="101" applyFont="1" applyFill="1" applyAlignment="1">
      <alignment horizontal="right"/>
    </xf>
    <xf numFmtId="0" fontId="1" fillId="0" borderId="0" xfId="0" applyFont="1" applyAlignment="1">
      <alignment/>
    </xf>
    <xf numFmtId="1" fontId="0" fillId="0" borderId="0" xfId="0" applyNumberFormat="1" applyAlignment="1">
      <alignment/>
    </xf>
    <xf numFmtId="2" fontId="0" fillId="0" borderId="0" xfId="0" applyNumberFormat="1" applyAlignment="1">
      <alignment/>
    </xf>
    <xf numFmtId="9" fontId="0" fillId="0" borderId="0" xfId="101" applyFont="1" applyFill="1" applyAlignment="1">
      <alignment horizontal="right" wrapText="1"/>
    </xf>
    <xf numFmtId="0" fontId="1" fillId="20" borderId="12" xfId="0" applyFont="1" applyFill="1" applyBorder="1" applyAlignment="1">
      <alignment horizontal="centerContinuous"/>
    </xf>
    <xf numFmtId="0" fontId="1" fillId="20" borderId="13" xfId="0" applyFont="1" applyFill="1" applyBorder="1" applyAlignment="1">
      <alignment horizontal="centerContinuous"/>
    </xf>
    <xf numFmtId="167" fontId="1" fillId="0" borderId="14" xfId="0" applyNumberFormat="1" applyFont="1" applyBorder="1" applyAlignment="1">
      <alignment horizontal="center"/>
    </xf>
    <xf numFmtId="167" fontId="1" fillId="0" borderId="0" xfId="0" applyNumberFormat="1" applyFont="1" applyBorder="1" applyAlignment="1">
      <alignment horizontal="center"/>
    </xf>
    <xf numFmtId="164" fontId="0" fillId="0" borderId="14" xfId="0" applyNumberFormat="1" applyBorder="1" applyAlignment="1">
      <alignment horizontal="center"/>
    </xf>
    <xf numFmtId="164" fontId="0" fillId="0" borderId="0"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0" fontId="0" fillId="20" borderId="17" xfId="0" applyFill="1" applyBorder="1" applyAlignment="1">
      <alignment/>
    </xf>
    <xf numFmtId="0" fontId="1" fillId="20" borderId="18" xfId="0" applyFont="1" applyFill="1" applyBorder="1" applyAlignment="1">
      <alignment/>
    </xf>
    <xf numFmtId="0" fontId="1" fillId="20" borderId="18" xfId="0" applyFont="1" applyFill="1" applyBorder="1" applyAlignment="1">
      <alignment horizontal="left"/>
    </xf>
    <xf numFmtId="1" fontId="1" fillId="20" borderId="18" xfId="0" applyNumberFormat="1" applyFont="1" applyFill="1" applyBorder="1" applyAlignment="1">
      <alignment horizontal="left"/>
    </xf>
    <xf numFmtId="1" fontId="1" fillId="20" borderId="19" xfId="0" applyNumberFormat="1" applyFont="1" applyFill="1" applyBorder="1" applyAlignment="1">
      <alignment horizontal="left"/>
    </xf>
    <xf numFmtId="0" fontId="6" fillId="24" borderId="0" xfId="0" applyFont="1" applyFill="1" applyAlignment="1">
      <alignment/>
    </xf>
    <xf numFmtId="0" fontId="0" fillId="0" borderId="0" xfId="0" applyFill="1" applyAlignment="1">
      <alignment/>
    </xf>
    <xf numFmtId="164" fontId="4" fillId="0" borderId="10" xfId="0" applyNumberFormat="1" applyFont="1" applyFill="1" applyBorder="1" applyAlignment="1">
      <alignment horizontal="right" wrapText="1"/>
    </xf>
    <xf numFmtId="1" fontId="0" fillId="3" borderId="10" xfId="0" applyNumberFormat="1" applyFont="1" applyFill="1" applyBorder="1" applyAlignment="1">
      <alignment vertical="top"/>
    </xf>
    <xf numFmtId="0" fontId="0" fillId="0" borderId="0" xfId="0" applyFont="1" applyAlignment="1">
      <alignment/>
    </xf>
    <xf numFmtId="164" fontId="61" fillId="0" borderId="0" xfId="0" applyNumberFormat="1" applyFont="1" applyFill="1" applyAlignment="1">
      <alignment horizontal="right"/>
    </xf>
    <xf numFmtId="164" fontId="61" fillId="24" borderId="0" xfId="0" applyNumberFormat="1" applyFont="1" applyFill="1" applyAlignment="1">
      <alignment horizontal="right"/>
    </xf>
    <xf numFmtId="9" fontId="61" fillId="24" borderId="0" xfId="101" applyNumberFormat="1" applyFont="1" applyFill="1" applyAlignment="1">
      <alignment horizontal="right"/>
    </xf>
    <xf numFmtId="0" fontId="0" fillId="7" borderId="10" xfId="0" applyFont="1" applyFill="1" applyBorder="1" applyAlignment="1">
      <alignment horizontal="right" vertical="top"/>
    </xf>
    <xf numFmtId="1" fontId="0" fillId="7" borderId="10" xfId="0" applyNumberFormat="1" applyFont="1" applyFill="1" applyBorder="1" applyAlignment="1">
      <alignment vertical="top"/>
    </xf>
    <xf numFmtId="164" fontId="0" fillId="7" borderId="0" xfId="0" applyNumberFormat="1" applyFont="1" applyFill="1" applyAlignment="1">
      <alignment horizontal="right"/>
    </xf>
    <xf numFmtId="1" fontId="0" fillId="7" borderId="0" xfId="101" applyNumberFormat="1" applyFont="1" applyFill="1" applyAlignment="1">
      <alignment horizontal="right"/>
    </xf>
    <xf numFmtId="0" fontId="0" fillId="7" borderId="10" xfId="0" applyFont="1" applyFill="1" applyBorder="1" applyAlignment="1">
      <alignment horizontal="right" vertical="top" wrapText="1"/>
    </xf>
    <xf numFmtId="0" fontId="0" fillId="7" borderId="0" xfId="0" applyFont="1" applyFill="1" applyAlignment="1">
      <alignment horizontal="right" vertical="top" wrapText="1"/>
    </xf>
    <xf numFmtId="0" fontId="0" fillId="7" borderId="10" xfId="97" applyFont="1" applyFill="1" applyBorder="1" applyAlignment="1">
      <alignment horizontal="right" vertical="top" wrapText="1"/>
      <protection/>
    </xf>
    <xf numFmtId="1" fontId="0" fillId="7" borderId="10" xfId="97" applyNumberFormat="1" applyFont="1" applyFill="1" applyBorder="1" applyAlignment="1">
      <alignment horizontal="right" vertical="top" wrapText="1"/>
      <protection/>
    </xf>
    <xf numFmtId="164" fontId="0" fillId="7" borderId="10" xfId="97" applyNumberFormat="1" applyFont="1" applyFill="1" applyBorder="1" applyAlignment="1">
      <alignment horizontal="right" vertical="top" wrapText="1"/>
      <protection/>
    </xf>
    <xf numFmtId="0" fontId="0" fillId="5" borderId="0" xfId="0" applyFont="1" applyFill="1" applyAlignment="1">
      <alignment horizontal="right" vertical="top"/>
    </xf>
    <xf numFmtId="0" fontId="0" fillId="5" borderId="10" xfId="0" applyFont="1" applyFill="1" applyBorder="1" applyAlignment="1">
      <alignment horizontal="right" vertical="top"/>
    </xf>
    <xf numFmtId="0" fontId="4" fillId="5" borderId="10" xfId="96" applyFont="1" applyFill="1" applyBorder="1" applyAlignment="1">
      <alignment horizontal="right" vertical="top" wrapText="1"/>
      <protection/>
    </xf>
    <xf numFmtId="168" fontId="4" fillId="5" borderId="10" xfId="96" applyNumberFormat="1" applyFont="1" applyFill="1" applyBorder="1" applyAlignment="1">
      <alignment horizontal="right" vertical="top" wrapText="1"/>
      <protection/>
    </xf>
    <xf numFmtId="1" fontId="4" fillId="5" borderId="10" xfId="96" applyNumberFormat="1" applyFont="1" applyFill="1" applyBorder="1" applyAlignment="1">
      <alignment horizontal="right" vertical="top" wrapText="1"/>
      <protection/>
    </xf>
    <xf numFmtId="1" fontId="0" fillId="5" borderId="10" xfId="0" applyNumberFormat="1" applyFont="1" applyFill="1" applyBorder="1" applyAlignment="1">
      <alignment vertical="top"/>
    </xf>
    <xf numFmtId="164" fontId="4" fillId="5" borderId="10" xfId="96" applyNumberFormat="1" applyFont="1" applyFill="1" applyBorder="1" applyAlignment="1">
      <alignment horizontal="right" vertical="top" wrapText="1"/>
      <protection/>
    </xf>
    <xf numFmtId="164" fontId="0" fillId="5" borderId="0" xfId="0" applyNumberFormat="1" applyFont="1" applyFill="1" applyAlignment="1">
      <alignment horizontal="right"/>
    </xf>
    <xf numFmtId="0" fontId="0" fillId="5" borderId="10" xfId="0" applyFont="1" applyFill="1" applyBorder="1" applyAlignment="1">
      <alignment horizontal="right" vertical="top" wrapText="1"/>
    </xf>
    <xf numFmtId="0" fontId="4" fillId="5" borderId="10" xfId="97" applyFont="1" applyFill="1" applyBorder="1" applyAlignment="1">
      <alignment horizontal="right" vertical="top" wrapText="1"/>
      <protection/>
    </xf>
    <xf numFmtId="1" fontId="4" fillId="5" borderId="10" xfId="97" applyNumberFormat="1" applyFont="1" applyFill="1" applyBorder="1" applyAlignment="1">
      <alignment horizontal="right" vertical="top" wrapText="1"/>
      <protection/>
    </xf>
    <xf numFmtId="164" fontId="4" fillId="5" borderId="10" xfId="97" applyNumberFormat="1" applyFont="1" applyFill="1" applyBorder="1" applyAlignment="1">
      <alignment horizontal="right" vertical="top" wrapText="1"/>
      <protection/>
    </xf>
    <xf numFmtId="0" fontId="0" fillId="5" borderId="0" xfId="0" applyFont="1" applyFill="1" applyAlignment="1">
      <alignment horizontal="right" vertical="top" wrapText="1"/>
    </xf>
    <xf numFmtId="1" fontId="0" fillId="5" borderId="10" xfId="96" applyNumberFormat="1" applyFont="1" applyFill="1" applyBorder="1" applyAlignment="1">
      <alignment horizontal="right" vertical="top" wrapText="1"/>
      <protection/>
    </xf>
    <xf numFmtId="164" fontId="0" fillId="5" borderId="10" xfId="96" applyNumberFormat="1" applyFont="1" applyFill="1" applyBorder="1" applyAlignment="1">
      <alignment horizontal="right" vertical="top" wrapText="1"/>
      <protection/>
    </xf>
    <xf numFmtId="0" fontId="0" fillId="5" borderId="10" xfId="96" applyFont="1" applyFill="1" applyBorder="1" applyAlignment="1">
      <alignment horizontal="right" vertical="top" wrapText="1"/>
      <protection/>
    </xf>
    <xf numFmtId="1" fontId="0" fillId="5" borderId="10" xfId="97" applyNumberFormat="1" applyFont="1" applyFill="1" applyBorder="1" applyAlignment="1">
      <alignment horizontal="right" vertical="top" wrapText="1"/>
      <protection/>
    </xf>
    <xf numFmtId="0" fontId="0" fillId="5" borderId="10" xfId="97" applyFont="1" applyFill="1" applyBorder="1" applyAlignment="1">
      <alignment horizontal="right" vertical="top" wrapText="1"/>
      <protection/>
    </xf>
    <xf numFmtId="164" fontId="0" fillId="5" borderId="10" xfId="97" applyNumberFormat="1" applyFont="1" applyFill="1" applyBorder="1" applyAlignment="1">
      <alignment horizontal="right" vertical="top" wrapText="1"/>
      <protection/>
    </xf>
    <xf numFmtId="1" fontId="0" fillId="5" borderId="0" xfId="101" applyNumberFormat="1" applyFont="1" applyFill="1" applyAlignment="1">
      <alignment horizontal="right"/>
    </xf>
    <xf numFmtId="9" fontId="61" fillId="0" borderId="0" xfId="101" applyNumberFormat="1" applyFont="1" applyFill="1" applyAlignment="1">
      <alignment horizontal="right"/>
    </xf>
    <xf numFmtId="0" fontId="0" fillId="0" borderId="0" xfId="0" applyBorder="1" applyAlignment="1">
      <alignment/>
    </xf>
    <xf numFmtId="168" fontId="0" fillId="7" borderId="10" xfId="96" applyNumberFormat="1" applyFont="1" applyFill="1" applyBorder="1" applyAlignment="1">
      <alignment horizontal="right" vertical="top" wrapText="1"/>
      <protection/>
    </xf>
    <xf numFmtId="1" fontId="0" fillId="7" borderId="10" xfId="0" applyNumberFormat="1" applyFont="1" applyFill="1" applyBorder="1" applyAlignment="1">
      <alignment horizontal="right" vertical="top" wrapText="1"/>
    </xf>
    <xf numFmtId="164" fontId="0" fillId="7" borderId="10" xfId="0" applyNumberFormat="1" applyFont="1" applyFill="1" applyBorder="1" applyAlignment="1">
      <alignment horizontal="right" vertical="top" wrapText="1"/>
    </xf>
    <xf numFmtId="0" fontId="0" fillId="24" borderId="10" xfId="0" applyFont="1" applyFill="1" applyBorder="1" applyAlignment="1">
      <alignment horizontal="right" vertical="top" wrapText="1"/>
    </xf>
    <xf numFmtId="0" fontId="0" fillId="24" borderId="10" xfId="96" applyFont="1" applyFill="1" applyBorder="1" applyAlignment="1" applyProtection="1">
      <alignment horizontal="right" vertical="top" wrapText="1"/>
      <protection/>
    </xf>
    <xf numFmtId="168" fontId="4" fillId="24" borderId="10" xfId="96" applyNumberFormat="1" applyFont="1" applyFill="1" applyBorder="1" applyAlignment="1">
      <alignment horizontal="right" vertical="top" wrapText="1"/>
      <protection/>
    </xf>
    <xf numFmtId="1" fontId="0" fillId="24" borderId="10" xfId="0" applyNumberFormat="1" applyFont="1" applyFill="1" applyBorder="1" applyAlignment="1">
      <alignment horizontal="right" vertical="top"/>
    </xf>
    <xf numFmtId="1" fontId="0" fillId="24" borderId="10" xfId="0" applyNumberFormat="1" applyFont="1" applyFill="1" applyBorder="1" applyAlignment="1">
      <alignment vertical="top"/>
    </xf>
    <xf numFmtId="1" fontId="4" fillId="24" borderId="10" xfId="97" applyNumberFormat="1" applyFont="1" applyFill="1" applyBorder="1" applyAlignment="1">
      <alignment horizontal="right" vertical="top" wrapText="1"/>
      <protection/>
    </xf>
    <xf numFmtId="164" fontId="4" fillId="24" borderId="10" xfId="97" applyNumberFormat="1" applyFont="1" applyFill="1" applyBorder="1" applyAlignment="1">
      <alignment horizontal="right" vertical="top" wrapText="1"/>
      <protection/>
    </xf>
    <xf numFmtId="164" fontId="0" fillId="24" borderId="0" xfId="0" applyNumberFormat="1" applyFont="1" applyFill="1" applyAlignment="1">
      <alignment horizontal="right"/>
    </xf>
    <xf numFmtId="1" fontId="0" fillId="24" borderId="0" xfId="101" applyNumberFormat="1" applyFont="1" applyFill="1" applyAlignment="1">
      <alignment horizontal="right"/>
    </xf>
    <xf numFmtId="0" fontId="0" fillId="24" borderId="0" xfId="0" applyFont="1" applyFill="1" applyAlignment="1">
      <alignment horizontal="right" vertical="top" wrapText="1"/>
    </xf>
    <xf numFmtId="0" fontId="0" fillId="24" borderId="10" xfId="15" applyFont="1" applyFill="1" applyBorder="1" applyAlignment="1">
      <alignment horizontal="right" vertical="top" wrapText="1"/>
      <protection/>
    </xf>
    <xf numFmtId="1" fontId="0" fillId="24" borderId="10" xfId="15" applyNumberFormat="1" applyFont="1" applyFill="1" applyBorder="1" applyAlignment="1">
      <alignment horizontal="right" vertical="top" wrapText="1"/>
      <protection/>
    </xf>
    <xf numFmtId="164" fontId="0" fillId="24" borderId="10" xfId="15" applyNumberFormat="1" applyFont="1" applyFill="1" applyBorder="1" applyAlignment="1">
      <alignment horizontal="right" vertical="top" wrapText="1"/>
      <protection/>
    </xf>
    <xf numFmtId="0" fontId="0" fillId="24" borderId="10" xfId="98" applyFont="1" applyFill="1" applyBorder="1" applyAlignment="1">
      <alignment horizontal="right" vertical="top" wrapText="1"/>
      <protection/>
    </xf>
    <xf numFmtId="1" fontId="0" fillId="24" borderId="10" xfId="98" applyNumberFormat="1" applyFont="1" applyFill="1" applyBorder="1" applyAlignment="1">
      <alignment horizontal="right" vertical="top" wrapText="1"/>
      <protection/>
    </xf>
    <xf numFmtId="164" fontId="0" fillId="24" borderId="10" xfId="98" applyNumberFormat="1" applyFont="1" applyFill="1" applyBorder="1" applyAlignment="1">
      <alignment horizontal="right" vertical="top" wrapText="1"/>
      <protection/>
    </xf>
    <xf numFmtId="0" fontId="0" fillId="24" borderId="10" xfId="97" applyFont="1" applyFill="1" applyBorder="1" applyAlignment="1">
      <alignment horizontal="right" vertical="top" wrapText="1"/>
      <protection/>
    </xf>
    <xf numFmtId="1" fontId="0" fillId="24" borderId="10" xfId="97" applyNumberFormat="1" applyFont="1" applyFill="1" applyBorder="1" applyAlignment="1">
      <alignment horizontal="right" vertical="top" wrapText="1"/>
      <protection/>
    </xf>
    <xf numFmtId="164" fontId="0" fillId="24" borderId="10" xfId="97" applyNumberFormat="1" applyFont="1" applyFill="1" applyBorder="1" applyAlignment="1">
      <alignment horizontal="right" vertical="top" wrapText="1"/>
      <protection/>
    </xf>
    <xf numFmtId="0" fontId="0" fillId="24" borderId="0" xfId="0" applyFont="1" applyFill="1" applyAlignment="1">
      <alignment horizontal="right" vertical="top"/>
    </xf>
    <xf numFmtId="0" fontId="0" fillId="24" borderId="10" xfId="0" applyFont="1" applyFill="1" applyBorder="1" applyAlignment="1">
      <alignment horizontal="right" vertical="top"/>
    </xf>
    <xf numFmtId="0" fontId="0" fillId="24" borderId="10" xfId="105" applyFont="1" applyFill="1" applyBorder="1" applyAlignment="1">
      <alignment horizontal="right" vertical="top" wrapText="1"/>
      <protection/>
    </xf>
    <xf numFmtId="1" fontId="0" fillId="24" borderId="10" xfId="105" applyNumberFormat="1" applyFont="1" applyFill="1" applyBorder="1" applyAlignment="1">
      <alignment horizontal="right" vertical="top" wrapText="1"/>
      <protection/>
    </xf>
    <xf numFmtId="164" fontId="0" fillId="24" borderId="10" xfId="105" applyNumberFormat="1" applyFont="1" applyFill="1" applyBorder="1" applyAlignment="1">
      <alignment horizontal="right" vertical="top" wrapText="1"/>
      <protection/>
    </xf>
    <xf numFmtId="0" fontId="0" fillId="5" borderId="10" xfId="96" applyFont="1" applyFill="1" applyBorder="1" applyAlignment="1" applyProtection="1">
      <alignment horizontal="right" vertical="top" wrapText="1"/>
      <protection/>
    </xf>
    <xf numFmtId="1" fontId="0" fillId="5" borderId="10" xfId="0" applyNumberFormat="1" applyFont="1" applyFill="1" applyBorder="1" applyAlignment="1">
      <alignment horizontal="right" vertical="top"/>
    </xf>
    <xf numFmtId="0" fontId="4" fillId="5" borderId="10" xfId="0" applyFont="1" applyFill="1" applyBorder="1" applyAlignment="1">
      <alignment horizontal="right" vertical="top" wrapText="1"/>
    </xf>
    <xf numFmtId="1" fontId="4" fillId="5" borderId="10" xfId="0" applyNumberFormat="1" applyFont="1" applyFill="1" applyBorder="1" applyAlignment="1">
      <alignment horizontal="right" vertical="top" wrapText="1"/>
    </xf>
    <xf numFmtId="164" fontId="4" fillId="5"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 fontId="0" fillId="5" borderId="10" xfId="0" applyNumberFormat="1" applyFont="1" applyFill="1" applyBorder="1" applyAlignment="1">
      <alignment horizontal="right" vertical="top" wrapText="1"/>
    </xf>
    <xf numFmtId="0" fontId="0" fillId="5" borderId="10" xfId="98" applyFont="1" applyFill="1" applyBorder="1" applyAlignment="1">
      <alignment horizontal="right" vertical="top" wrapText="1"/>
      <protection/>
    </xf>
    <xf numFmtId="1" fontId="0" fillId="5" borderId="10" xfId="98" applyNumberFormat="1" applyFont="1" applyFill="1" applyBorder="1" applyAlignment="1">
      <alignment horizontal="right" vertical="top" wrapText="1"/>
      <protection/>
    </xf>
    <xf numFmtId="164" fontId="0" fillId="5" borderId="10" xfId="98" applyNumberFormat="1" applyFont="1" applyFill="1" applyBorder="1" applyAlignment="1">
      <alignment horizontal="right" vertical="top" wrapText="1"/>
      <protection/>
    </xf>
    <xf numFmtId="0" fontId="0" fillId="5" borderId="10" xfId="15" applyFont="1" applyFill="1" applyBorder="1" applyAlignment="1">
      <alignment horizontal="right" vertical="top" wrapText="1"/>
      <protection/>
    </xf>
    <xf numFmtId="1" fontId="0" fillId="5" borderId="10" xfId="15" applyNumberFormat="1" applyFont="1" applyFill="1" applyBorder="1" applyAlignment="1">
      <alignment horizontal="right" vertical="top" wrapText="1"/>
      <protection/>
    </xf>
    <xf numFmtId="164" fontId="0" fillId="5" borderId="10" xfId="15" applyNumberFormat="1" applyFont="1" applyFill="1" applyBorder="1" applyAlignment="1">
      <alignment horizontal="right" vertical="top" wrapText="1"/>
      <protection/>
    </xf>
    <xf numFmtId="0" fontId="0" fillId="5" borderId="10" xfId="105" applyFont="1" applyFill="1" applyBorder="1" applyAlignment="1">
      <alignment horizontal="right" vertical="top" wrapText="1"/>
      <protection/>
    </xf>
    <xf numFmtId="1" fontId="0" fillId="5" borderId="10" xfId="105" applyNumberFormat="1" applyFont="1" applyFill="1" applyBorder="1" applyAlignment="1">
      <alignment horizontal="right" vertical="top" wrapText="1"/>
      <protection/>
    </xf>
    <xf numFmtId="164" fontId="0" fillId="5" borderId="10" xfId="105" applyNumberFormat="1" applyFont="1" applyFill="1" applyBorder="1" applyAlignment="1">
      <alignment horizontal="right" vertical="top" wrapText="1"/>
      <protection/>
    </xf>
    <xf numFmtId="0" fontId="0" fillId="10" borderId="10" xfId="0" applyFont="1" applyFill="1" applyBorder="1" applyAlignment="1">
      <alignment horizontal="right" vertical="top" wrapText="1"/>
    </xf>
    <xf numFmtId="0" fontId="0" fillId="10" borderId="10" xfId="96" applyFont="1" applyFill="1" applyBorder="1" applyAlignment="1" applyProtection="1">
      <alignment horizontal="right" vertical="top" wrapText="1"/>
      <protection/>
    </xf>
    <xf numFmtId="168" fontId="4" fillId="10" borderId="10" xfId="96" applyNumberFormat="1" applyFont="1" applyFill="1" applyBorder="1" applyAlignment="1">
      <alignment horizontal="right" vertical="top" wrapText="1"/>
      <protection/>
    </xf>
    <xf numFmtId="1" fontId="0" fillId="10" borderId="10" xfId="0" applyNumberFormat="1" applyFont="1" applyFill="1" applyBorder="1" applyAlignment="1">
      <alignment horizontal="right" vertical="top"/>
    </xf>
    <xf numFmtId="1" fontId="0" fillId="10" borderId="10" xfId="0" applyNumberFormat="1" applyFont="1" applyFill="1" applyBorder="1" applyAlignment="1">
      <alignment vertical="top"/>
    </xf>
    <xf numFmtId="1" fontId="4" fillId="10" borderId="10" xfId="97" applyNumberFormat="1" applyFont="1" applyFill="1" applyBorder="1" applyAlignment="1">
      <alignment horizontal="right" vertical="top" wrapText="1"/>
      <protection/>
    </xf>
    <xf numFmtId="164" fontId="4" fillId="10" borderId="10" xfId="97" applyNumberFormat="1" applyFont="1" applyFill="1" applyBorder="1" applyAlignment="1">
      <alignment horizontal="right" vertical="top" wrapText="1"/>
      <protection/>
    </xf>
    <xf numFmtId="164" fontId="0" fillId="10" borderId="0" xfId="0" applyNumberFormat="1" applyFont="1" applyFill="1" applyAlignment="1">
      <alignment horizontal="right"/>
    </xf>
    <xf numFmtId="1" fontId="0" fillId="10" borderId="0" xfId="101" applyNumberFormat="1" applyFont="1" applyFill="1" applyAlignment="1">
      <alignment horizontal="right"/>
    </xf>
    <xf numFmtId="0" fontId="0" fillId="10" borderId="0" xfId="0" applyFont="1" applyFill="1" applyAlignment="1">
      <alignment horizontal="right" vertical="top"/>
    </xf>
    <xf numFmtId="0" fontId="0" fillId="10" borderId="10" xfId="0" applyFont="1" applyFill="1" applyBorder="1" applyAlignment="1">
      <alignment horizontal="right" vertical="top"/>
    </xf>
    <xf numFmtId="1" fontId="0" fillId="10" borderId="10" xfId="0" applyNumberFormat="1" applyFont="1" applyFill="1" applyBorder="1" applyAlignment="1">
      <alignment horizontal="right" vertical="top" wrapText="1"/>
    </xf>
    <xf numFmtId="164" fontId="0" fillId="10" borderId="10" xfId="0" applyNumberFormat="1" applyFont="1" applyFill="1" applyBorder="1" applyAlignment="1">
      <alignment horizontal="right" vertical="top" wrapText="1"/>
    </xf>
    <xf numFmtId="164" fontId="0" fillId="10" borderId="10" xfId="97" applyNumberFormat="1" applyFont="1" applyFill="1" applyBorder="1" applyAlignment="1">
      <alignment horizontal="right" vertical="top" wrapText="1"/>
      <protection/>
    </xf>
    <xf numFmtId="0" fontId="4" fillId="10" borderId="10" xfId="0" applyFont="1" applyFill="1" applyBorder="1" applyAlignment="1">
      <alignment horizontal="right" vertical="top" wrapText="1"/>
    </xf>
    <xf numFmtId="1" fontId="4" fillId="10" borderId="10" xfId="0" applyNumberFormat="1" applyFont="1" applyFill="1" applyBorder="1" applyAlignment="1">
      <alignment horizontal="right" vertical="top" wrapText="1"/>
    </xf>
    <xf numFmtId="164" fontId="4" fillId="10" borderId="10" xfId="0" applyNumberFormat="1" applyFont="1" applyFill="1" applyBorder="1" applyAlignment="1">
      <alignment horizontal="right" vertical="top" wrapText="1"/>
    </xf>
    <xf numFmtId="0" fontId="0" fillId="10" borderId="0" xfId="0" applyFont="1" applyFill="1" applyAlignment="1">
      <alignment horizontal="right" vertical="top" wrapText="1"/>
    </xf>
    <xf numFmtId="0" fontId="4" fillId="10" borderId="10" xfId="97" applyFont="1" applyFill="1" applyBorder="1" applyAlignment="1">
      <alignment horizontal="right" vertical="top" wrapText="1"/>
      <protection/>
    </xf>
    <xf numFmtId="0" fontId="0" fillId="10" borderId="10" xfId="97" applyFont="1" applyFill="1" applyBorder="1" applyAlignment="1">
      <alignment horizontal="right" vertical="top" wrapText="1"/>
      <protection/>
    </xf>
    <xf numFmtId="1" fontId="0" fillId="10" borderId="10" xfId="97" applyNumberFormat="1" applyFont="1" applyFill="1" applyBorder="1" applyAlignment="1">
      <alignment horizontal="right" vertical="top" wrapText="1"/>
      <protection/>
    </xf>
    <xf numFmtId="0" fontId="0" fillId="10" borderId="10" xfId="15" applyFont="1" applyFill="1" applyBorder="1" applyAlignment="1">
      <alignment horizontal="right" vertical="top" wrapText="1"/>
      <protection/>
    </xf>
    <xf numFmtId="1" fontId="0" fillId="10" borderId="10" xfId="15" applyNumberFormat="1" applyFont="1" applyFill="1" applyBorder="1" applyAlignment="1">
      <alignment horizontal="right" vertical="top" wrapText="1"/>
      <protection/>
    </xf>
    <xf numFmtId="164" fontId="0" fillId="10" borderId="10" xfId="15" applyNumberFormat="1" applyFont="1" applyFill="1" applyBorder="1" applyAlignment="1">
      <alignment horizontal="right" vertical="top" wrapText="1"/>
      <protection/>
    </xf>
    <xf numFmtId="0" fontId="4" fillId="10" borderId="10" xfId="96" applyFont="1" applyFill="1" applyBorder="1" applyAlignment="1">
      <alignment horizontal="right" vertical="top" wrapText="1"/>
      <protection/>
    </xf>
    <xf numFmtId="1" fontId="4" fillId="10" borderId="10" xfId="96" applyNumberFormat="1" applyFont="1" applyFill="1" applyBorder="1" applyAlignment="1">
      <alignment horizontal="right" vertical="top" wrapText="1"/>
      <protection/>
    </xf>
    <xf numFmtId="164" fontId="4" fillId="10" borderId="10" xfId="96" applyNumberFormat="1" applyFont="1" applyFill="1" applyBorder="1" applyAlignment="1">
      <alignment horizontal="right" vertical="top" wrapText="1"/>
      <protection/>
    </xf>
    <xf numFmtId="0" fontId="0" fillId="10" borderId="10" xfId="98" applyFont="1" applyFill="1" applyBorder="1" applyAlignment="1">
      <alignment horizontal="right" vertical="top" wrapText="1"/>
      <protection/>
    </xf>
    <xf numFmtId="1" fontId="0" fillId="10" borderId="10" xfId="98" applyNumberFormat="1" applyFont="1" applyFill="1" applyBorder="1" applyAlignment="1">
      <alignment horizontal="right" vertical="top" wrapText="1"/>
      <protection/>
    </xf>
    <xf numFmtId="164" fontId="0" fillId="10" borderId="10" xfId="98" applyNumberFormat="1" applyFont="1" applyFill="1" applyBorder="1" applyAlignment="1">
      <alignment horizontal="right" vertical="top" wrapText="1"/>
      <protection/>
    </xf>
    <xf numFmtId="0" fontId="0" fillId="25" borderId="10" xfId="0" applyFont="1" applyFill="1" applyBorder="1" applyAlignment="1">
      <alignment horizontal="right" vertical="top" wrapText="1"/>
    </xf>
    <xf numFmtId="0" fontId="4" fillId="25" borderId="10" xfId="0" applyFont="1" applyFill="1" applyBorder="1" applyAlignment="1">
      <alignment horizontal="right" vertical="top" wrapText="1"/>
    </xf>
    <xf numFmtId="168" fontId="4" fillId="25" borderId="10" xfId="96" applyNumberFormat="1" applyFont="1" applyFill="1" applyBorder="1" applyAlignment="1">
      <alignment horizontal="right" vertical="top" wrapText="1"/>
      <protection/>
    </xf>
    <xf numFmtId="1" fontId="0" fillId="25" borderId="10" xfId="0" applyNumberFormat="1" applyFont="1" applyFill="1" applyBorder="1" applyAlignment="1">
      <alignment horizontal="right" vertical="top"/>
    </xf>
    <xf numFmtId="1" fontId="0" fillId="25" borderId="10" xfId="0" applyNumberFormat="1" applyFont="1" applyFill="1" applyBorder="1" applyAlignment="1">
      <alignment vertical="top"/>
    </xf>
    <xf numFmtId="1" fontId="0" fillId="25" borderId="10" xfId="0" applyNumberFormat="1" applyFont="1" applyFill="1" applyBorder="1" applyAlignment="1">
      <alignment horizontal="right" vertical="top" wrapText="1"/>
    </xf>
    <xf numFmtId="164" fontId="0" fillId="25" borderId="10" xfId="0" applyNumberFormat="1" applyFont="1" applyFill="1" applyBorder="1" applyAlignment="1">
      <alignment horizontal="right" vertical="top" wrapText="1"/>
    </xf>
    <xf numFmtId="164" fontId="4" fillId="25" borderId="10" xfId="0" applyNumberFormat="1" applyFont="1" applyFill="1" applyBorder="1" applyAlignment="1">
      <alignment horizontal="right" vertical="top" wrapText="1"/>
    </xf>
    <xf numFmtId="164" fontId="0" fillId="25" borderId="0" xfId="0" applyNumberFormat="1" applyFont="1" applyFill="1" applyAlignment="1">
      <alignment horizontal="right"/>
    </xf>
    <xf numFmtId="1" fontId="0" fillId="25" borderId="0" xfId="101" applyNumberFormat="1" applyFont="1" applyFill="1" applyAlignment="1">
      <alignment horizontal="right"/>
    </xf>
    <xf numFmtId="0" fontId="0" fillId="25" borderId="0" xfId="0" applyFont="1" applyFill="1" applyAlignment="1">
      <alignment horizontal="right" vertical="top" wrapText="1"/>
    </xf>
    <xf numFmtId="0" fontId="0" fillId="25" borderId="10" xfId="15" applyFont="1" applyFill="1" applyBorder="1" applyAlignment="1">
      <alignment horizontal="right" vertical="top" wrapText="1"/>
      <protection/>
    </xf>
    <xf numFmtId="1" fontId="0" fillId="25" borderId="10" xfId="15" applyNumberFormat="1" applyFont="1" applyFill="1" applyBorder="1" applyAlignment="1">
      <alignment horizontal="right" vertical="top" wrapText="1"/>
      <protection/>
    </xf>
    <xf numFmtId="164" fontId="0" fillId="25" borderId="10" xfId="15" applyNumberFormat="1" applyFont="1" applyFill="1" applyBorder="1" applyAlignment="1">
      <alignment horizontal="right" vertical="top" wrapText="1"/>
      <protection/>
    </xf>
    <xf numFmtId="0" fontId="0" fillId="25" borderId="10" xfId="0" applyFont="1" applyFill="1" applyBorder="1" applyAlignment="1">
      <alignment horizontal="right" vertical="top"/>
    </xf>
    <xf numFmtId="0" fontId="0" fillId="25" borderId="10" xfId="97" applyFont="1" applyFill="1" applyBorder="1" applyAlignment="1">
      <alignment horizontal="right" vertical="top" wrapText="1"/>
      <protection/>
    </xf>
    <xf numFmtId="1" fontId="4" fillId="25" borderId="10" xfId="97" applyNumberFormat="1" applyFont="1" applyFill="1" applyBorder="1" applyAlignment="1">
      <alignment horizontal="right" vertical="top" wrapText="1"/>
      <protection/>
    </xf>
    <xf numFmtId="1" fontId="0" fillId="25" borderId="10" xfId="97" applyNumberFormat="1" applyFont="1" applyFill="1" applyBorder="1" applyAlignment="1">
      <alignment horizontal="right" vertical="top" wrapText="1"/>
      <protection/>
    </xf>
    <xf numFmtId="164" fontId="4" fillId="25" borderId="10" xfId="97" applyNumberFormat="1" applyFont="1" applyFill="1" applyBorder="1" applyAlignment="1">
      <alignment horizontal="right" vertical="top" wrapText="1"/>
      <protection/>
    </xf>
    <xf numFmtId="0" fontId="0" fillId="25" borderId="0" xfId="0" applyFont="1" applyFill="1" applyAlignment="1">
      <alignment horizontal="right" vertical="top"/>
    </xf>
    <xf numFmtId="164" fontId="0" fillId="25" borderId="10" xfId="97" applyNumberFormat="1" applyFont="1" applyFill="1" applyBorder="1" applyAlignment="1">
      <alignment horizontal="right" vertical="top" wrapText="1"/>
      <protection/>
    </xf>
    <xf numFmtId="0" fontId="0" fillId="25" borderId="10" xfId="98" applyFont="1" applyFill="1" applyBorder="1" applyAlignment="1">
      <alignment horizontal="right" vertical="top" wrapText="1"/>
      <protection/>
    </xf>
    <xf numFmtId="1" fontId="0" fillId="25" borderId="10" xfId="98" applyNumberFormat="1" applyFont="1" applyFill="1" applyBorder="1" applyAlignment="1">
      <alignment horizontal="right" vertical="top" wrapText="1"/>
      <protection/>
    </xf>
    <xf numFmtId="164" fontId="0" fillId="25" borderId="10" xfId="98" applyNumberFormat="1" applyFont="1" applyFill="1" applyBorder="1" applyAlignment="1">
      <alignment horizontal="right" vertical="top" wrapText="1"/>
      <protection/>
    </xf>
    <xf numFmtId="0" fontId="0" fillId="25" borderId="10" xfId="105" applyFont="1" applyFill="1" applyBorder="1" applyAlignment="1">
      <alignment horizontal="right" vertical="top" wrapText="1"/>
      <protection/>
    </xf>
    <xf numFmtId="1" fontId="0" fillId="25" borderId="10" xfId="105" applyNumberFormat="1" applyFont="1" applyFill="1" applyBorder="1" applyAlignment="1">
      <alignment horizontal="right" vertical="top" wrapText="1"/>
      <protection/>
    </xf>
    <xf numFmtId="164" fontId="0" fillId="25" borderId="10" xfId="105" applyNumberFormat="1" applyFont="1" applyFill="1" applyBorder="1" applyAlignment="1">
      <alignment horizontal="right" vertical="top" wrapText="1"/>
      <protection/>
    </xf>
    <xf numFmtId="0" fontId="0" fillId="3" borderId="10" xfId="0" applyFont="1" applyFill="1" applyBorder="1" applyAlignment="1">
      <alignment horizontal="right" vertical="top" wrapText="1"/>
    </xf>
    <xf numFmtId="0" fontId="0" fillId="3" borderId="10" xfId="105" applyFont="1" applyFill="1" applyBorder="1" applyAlignment="1">
      <alignment horizontal="right" vertical="top" wrapText="1"/>
      <protection/>
    </xf>
    <xf numFmtId="168" fontId="4" fillId="3" borderId="10" xfId="96" applyNumberFormat="1" applyFont="1" applyFill="1" applyBorder="1" applyAlignment="1">
      <alignment horizontal="right" vertical="top" wrapText="1"/>
      <protection/>
    </xf>
    <xf numFmtId="1" fontId="0" fillId="3" borderId="10" xfId="0" applyNumberFormat="1" applyFont="1" applyFill="1" applyBorder="1" applyAlignment="1">
      <alignment horizontal="right" vertical="top"/>
    </xf>
    <xf numFmtId="1" fontId="0" fillId="3" borderId="10" xfId="105" applyNumberFormat="1" applyFont="1" applyFill="1" applyBorder="1" applyAlignment="1">
      <alignment horizontal="right" vertical="top" wrapText="1"/>
      <protection/>
    </xf>
    <xf numFmtId="164" fontId="0" fillId="3" borderId="10" xfId="105" applyNumberFormat="1" applyFont="1" applyFill="1" applyBorder="1" applyAlignment="1">
      <alignment horizontal="right" vertical="top" wrapText="1"/>
      <protection/>
    </xf>
    <xf numFmtId="164" fontId="0" fillId="3" borderId="0" xfId="0" applyNumberFormat="1" applyFont="1" applyFill="1" applyAlignment="1">
      <alignment horizontal="right"/>
    </xf>
    <xf numFmtId="1" fontId="0" fillId="3" borderId="0" xfId="101" applyNumberFormat="1" applyFont="1" applyFill="1" applyAlignment="1">
      <alignment horizontal="right"/>
    </xf>
    <xf numFmtId="0" fontId="0" fillId="3" borderId="0" xfId="0" applyFont="1" applyFill="1" applyAlignment="1">
      <alignment horizontal="right" vertical="top" wrapText="1"/>
    </xf>
    <xf numFmtId="0" fontId="4" fillId="3" borderId="10" xfId="96" applyFont="1" applyFill="1" applyBorder="1" applyAlignment="1">
      <alignment horizontal="right" vertical="top" wrapText="1"/>
      <protection/>
    </xf>
    <xf numFmtId="1" fontId="4" fillId="3" borderId="10" xfId="96" applyNumberFormat="1" applyFont="1" applyFill="1" applyBorder="1" applyAlignment="1">
      <alignment horizontal="right" vertical="top" wrapText="1"/>
      <protection/>
    </xf>
    <xf numFmtId="164" fontId="4" fillId="3" borderId="10" xfId="96" applyNumberFormat="1" applyFont="1" applyFill="1" applyBorder="1" applyAlignment="1">
      <alignment horizontal="right" vertical="top" wrapText="1"/>
      <protection/>
    </xf>
    <xf numFmtId="0" fontId="0" fillId="3" borderId="10" xfId="0" applyFont="1" applyFill="1" applyBorder="1" applyAlignment="1">
      <alignment horizontal="right" vertical="top"/>
    </xf>
    <xf numFmtId="0" fontId="0" fillId="3" borderId="10" xfId="96" applyFont="1" applyFill="1" applyBorder="1" applyAlignment="1" applyProtection="1">
      <alignment horizontal="right" vertical="top" wrapText="1"/>
      <protection/>
    </xf>
    <xf numFmtId="1" fontId="4" fillId="3" borderId="10" xfId="97" applyNumberFormat="1" applyFont="1" applyFill="1" applyBorder="1" applyAlignment="1">
      <alignment horizontal="right" vertical="top" wrapText="1"/>
      <protection/>
    </xf>
    <xf numFmtId="164" fontId="4" fillId="3" borderId="10" xfId="97" applyNumberFormat="1" applyFont="1" applyFill="1" applyBorder="1" applyAlignment="1">
      <alignment horizontal="right" vertical="top" wrapText="1"/>
      <protection/>
    </xf>
    <xf numFmtId="0" fontId="4" fillId="3" borderId="10" xfId="97" applyFont="1" applyFill="1" applyBorder="1" applyAlignment="1">
      <alignment horizontal="right" vertical="top" wrapText="1"/>
      <protection/>
    </xf>
    <xf numFmtId="0" fontId="4" fillId="3" borderId="10" xfId="0" applyFont="1" applyFill="1" applyBorder="1" applyAlignment="1">
      <alignment horizontal="right" vertical="top" wrapText="1"/>
    </xf>
    <xf numFmtId="1" fontId="4" fillId="3" borderId="10" xfId="0" applyNumberFormat="1" applyFont="1" applyFill="1" applyBorder="1" applyAlignment="1">
      <alignment horizontal="right" vertical="top" wrapText="1"/>
    </xf>
    <xf numFmtId="164" fontId="4" fillId="3" borderId="10" xfId="0" applyNumberFormat="1" applyFont="1" applyFill="1" applyBorder="1" applyAlignment="1">
      <alignment horizontal="right" vertical="top" wrapText="1"/>
    </xf>
    <xf numFmtId="164" fontId="6" fillId="3" borderId="10" xfId="0" applyNumberFormat="1" applyFont="1" applyFill="1" applyBorder="1" applyAlignment="1">
      <alignment horizontal="right" vertical="top" wrapText="1"/>
    </xf>
    <xf numFmtId="1" fontId="0" fillId="3" borderId="10" xfId="0" applyNumberFormat="1" applyFont="1" applyFill="1" applyBorder="1" applyAlignment="1">
      <alignment horizontal="right" vertical="top" wrapText="1"/>
    </xf>
    <xf numFmtId="0" fontId="0" fillId="3" borderId="10" xfId="97" applyFont="1" applyFill="1" applyBorder="1" applyAlignment="1">
      <alignment horizontal="right" vertical="top" wrapText="1"/>
      <protection/>
    </xf>
    <xf numFmtId="1" fontId="0" fillId="3" borderId="10" xfId="97" applyNumberFormat="1" applyFont="1" applyFill="1" applyBorder="1" applyAlignment="1">
      <alignment horizontal="right" vertical="top" wrapText="1"/>
      <protection/>
    </xf>
    <xf numFmtId="164" fontId="0" fillId="3" borderId="10" xfId="97" applyNumberFormat="1" applyFont="1" applyFill="1" applyBorder="1" applyAlignment="1">
      <alignment horizontal="right" vertical="top" wrapText="1"/>
      <protection/>
    </xf>
    <xf numFmtId="0" fontId="0" fillId="3" borderId="10" xfId="98" applyFont="1" applyFill="1" applyBorder="1" applyAlignment="1">
      <alignment horizontal="right" vertical="top" wrapText="1"/>
      <protection/>
    </xf>
    <xf numFmtId="1" fontId="0" fillId="3" borderId="10" xfId="98" applyNumberFormat="1" applyFont="1" applyFill="1" applyBorder="1" applyAlignment="1">
      <alignment horizontal="right" vertical="top" wrapText="1"/>
      <protection/>
    </xf>
    <xf numFmtId="164" fontId="0" fillId="3" borderId="10" xfId="98" applyNumberFormat="1" applyFont="1" applyFill="1" applyBorder="1" applyAlignment="1">
      <alignment horizontal="right" vertical="top" wrapText="1"/>
      <protection/>
    </xf>
    <xf numFmtId="164" fontId="0" fillId="3" borderId="10" xfId="0" applyNumberFormat="1" applyFont="1" applyFill="1" applyBorder="1" applyAlignment="1">
      <alignment horizontal="right" vertical="top" wrapText="1"/>
    </xf>
    <xf numFmtId="0" fontId="0" fillId="3" borderId="10" xfId="15" applyFont="1" applyFill="1" applyBorder="1" applyAlignment="1">
      <alignment horizontal="right" vertical="top" wrapText="1"/>
      <protection/>
    </xf>
    <xf numFmtId="1" fontId="0" fillId="3" borderId="10" xfId="15" applyNumberFormat="1" applyFont="1" applyFill="1" applyBorder="1" applyAlignment="1">
      <alignment horizontal="right" vertical="top" wrapText="1"/>
      <protection/>
    </xf>
    <xf numFmtId="164" fontId="0" fillId="3" borderId="10" xfId="15" applyNumberFormat="1" applyFont="1" applyFill="1" applyBorder="1" applyAlignment="1">
      <alignment horizontal="right" vertical="top" wrapText="1"/>
      <protection/>
    </xf>
    <xf numFmtId="0" fontId="4" fillId="3" borderId="10" xfId="105" applyFont="1" applyFill="1" applyBorder="1" applyAlignment="1">
      <alignment horizontal="right" vertical="top" wrapText="1"/>
      <protection/>
    </xf>
    <xf numFmtId="1" fontId="4" fillId="3" borderId="10" xfId="105" applyNumberFormat="1" applyFont="1" applyFill="1" applyBorder="1" applyAlignment="1">
      <alignment horizontal="right" vertical="top" wrapText="1"/>
      <protection/>
    </xf>
    <xf numFmtId="164" fontId="4" fillId="3" borderId="10" xfId="105" applyNumberFormat="1" applyFont="1" applyFill="1" applyBorder="1" applyAlignment="1">
      <alignment horizontal="right" vertical="top" wrapText="1"/>
      <protection/>
    </xf>
    <xf numFmtId="9" fontId="0" fillId="0" borderId="0" xfId="101" applyNumberFormat="1" applyAlignment="1">
      <alignment/>
    </xf>
    <xf numFmtId="0" fontId="0" fillId="3" borderId="0" xfId="0" applyFont="1" applyFill="1" applyAlignment="1">
      <alignment horizontal="right" vertical="top"/>
    </xf>
    <xf numFmtId="0" fontId="0" fillId="0" borderId="0" xfId="0" applyFill="1" applyAlignment="1">
      <alignment wrapText="1"/>
    </xf>
    <xf numFmtId="9" fontId="61" fillId="24" borderId="0" xfId="0" applyNumberFormat="1" applyFont="1" applyFill="1" applyAlignment="1">
      <alignment/>
    </xf>
    <xf numFmtId="164" fontId="0" fillId="0" borderId="0" xfId="0" applyNumberFormat="1" applyFill="1" applyAlignment="1">
      <alignment/>
    </xf>
    <xf numFmtId="9" fontId="0" fillId="0" borderId="0" xfId="101" applyNumberFormat="1" applyBorder="1" applyAlignment="1">
      <alignment horizontal="center"/>
    </xf>
    <xf numFmtId="9" fontId="0" fillId="0" borderId="16" xfId="101" applyNumberFormat="1" applyBorder="1" applyAlignment="1">
      <alignment horizontal="center"/>
    </xf>
    <xf numFmtId="9" fontId="0" fillId="0" borderId="0" xfId="101" applyFill="1" applyAlignment="1">
      <alignment/>
    </xf>
    <xf numFmtId="0" fontId="0" fillId="0" borderId="0" xfId="0" applyAlignment="1">
      <alignment wrapText="1"/>
    </xf>
    <xf numFmtId="0" fontId="0" fillId="0" borderId="10" xfId="0" applyBorder="1" applyAlignment="1">
      <alignment/>
    </xf>
    <xf numFmtId="2" fontId="0" fillId="0" borderId="0" xfId="0" applyNumberFormat="1" applyFont="1" applyFill="1" applyAlignment="1">
      <alignment horizontal="right"/>
    </xf>
    <xf numFmtId="0" fontId="0" fillId="0" borderId="0" xfId="0" applyFont="1" applyFill="1" applyBorder="1" applyAlignment="1">
      <alignment horizontal="right" wrapText="1"/>
    </xf>
    <xf numFmtId="0" fontId="0" fillId="0" borderId="0" xfId="0" applyFont="1" applyFill="1" applyBorder="1" applyAlignment="1">
      <alignment horizontal="left" wrapText="1"/>
    </xf>
    <xf numFmtId="0" fontId="0" fillId="0" borderId="13" xfId="0" applyFont="1" applyBorder="1" applyAlignment="1">
      <alignment horizontal="right" wrapText="1"/>
    </xf>
    <xf numFmtId="0" fontId="0" fillId="0" borderId="20" xfId="0" applyBorder="1" applyAlignment="1">
      <alignment/>
    </xf>
    <xf numFmtId="0" fontId="0" fillId="0" borderId="11" xfId="0" applyBorder="1" applyAlignment="1">
      <alignment/>
    </xf>
    <xf numFmtId="0" fontId="1" fillId="0" borderId="20" xfId="0" applyFont="1" applyBorder="1" applyAlignment="1">
      <alignment/>
    </xf>
    <xf numFmtId="0" fontId="0" fillId="0" borderId="12" xfId="0" applyBorder="1" applyAlignment="1">
      <alignment/>
    </xf>
    <xf numFmtId="0" fontId="0" fillId="0" borderId="17" xfId="0" applyFont="1" applyBorder="1" applyAlignment="1">
      <alignment horizontal="right" wrapText="1"/>
    </xf>
    <xf numFmtId="1" fontId="0" fillId="0" borderId="14" xfId="101" applyNumberFormat="1" applyBorder="1" applyAlignment="1">
      <alignment/>
    </xf>
    <xf numFmtId="1" fontId="0" fillId="0" borderId="0" xfId="101" applyNumberFormat="1" applyBorder="1" applyAlignment="1">
      <alignment/>
    </xf>
    <xf numFmtId="9" fontId="0" fillId="0" borderId="0" xfId="101" applyNumberFormat="1" applyBorder="1" applyAlignment="1">
      <alignment/>
    </xf>
    <xf numFmtId="9" fontId="0" fillId="0" borderId="18" xfId="101" applyNumberFormat="1" applyBorder="1" applyAlignment="1">
      <alignment/>
    </xf>
    <xf numFmtId="10" fontId="0" fillId="0" borderId="14" xfId="0" applyNumberFormat="1" applyBorder="1" applyAlignment="1">
      <alignment/>
    </xf>
    <xf numFmtId="9" fontId="1" fillId="0" borderId="0" xfId="101" applyFont="1" applyBorder="1" applyAlignment="1">
      <alignment/>
    </xf>
    <xf numFmtId="9" fontId="1" fillId="0" borderId="18" xfId="101" applyFont="1" applyBorder="1" applyAlignment="1">
      <alignment/>
    </xf>
    <xf numFmtId="0" fontId="1" fillId="24" borderId="10" xfId="0" applyFont="1" applyFill="1" applyBorder="1" applyAlignment="1">
      <alignment/>
    </xf>
    <xf numFmtId="1" fontId="0" fillId="24" borderId="21" xfId="0" applyNumberFormat="1" applyFill="1" applyBorder="1" applyAlignment="1">
      <alignment/>
    </xf>
    <xf numFmtId="1" fontId="0" fillId="24" borderId="22" xfId="0" applyNumberFormat="1" applyFill="1" applyBorder="1" applyAlignment="1">
      <alignment/>
    </xf>
    <xf numFmtId="1" fontId="0" fillId="0" borderId="0" xfId="0" applyNumberFormat="1" applyFont="1" applyFill="1" applyAlignment="1">
      <alignment horizontal="right" wrapText="1"/>
    </xf>
    <xf numFmtId="10" fontId="0" fillId="0" borderId="0" xfId="101" applyNumberFormat="1" applyFill="1" applyAlignment="1">
      <alignment/>
    </xf>
    <xf numFmtId="179" fontId="0" fillId="0" borderId="0" xfId="0" applyNumberFormat="1" applyAlignment="1">
      <alignment/>
    </xf>
    <xf numFmtId="164" fontId="0" fillId="0" borderId="0" xfId="101" applyNumberFormat="1" applyFont="1" applyFill="1" applyAlignment="1">
      <alignment horizontal="right"/>
    </xf>
    <xf numFmtId="9" fontId="0" fillId="0" borderId="14" xfId="101" applyNumberFormat="1" applyBorder="1" applyAlignment="1">
      <alignment horizontal="center"/>
    </xf>
    <xf numFmtId="0" fontId="62" fillId="0" borderId="10" xfId="97" applyFont="1" applyFill="1" applyBorder="1" applyAlignment="1">
      <alignment horizontal="center" vertical="top" wrapText="1"/>
      <protection/>
    </xf>
    <xf numFmtId="0" fontId="62" fillId="0" borderId="10" xfId="97" applyFont="1" applyFill="1" applyBorder="1" applyAlignment="1" applyProtection="1">
      <alignment horizontal="center" vertical="top" wrapText="1"/>
      <protection/>
    </xf>
    <xf numFmtId="0" fontId="2" fillId="0" borderId="10" xfId="96" applyFont="1" applyFill="1" applyBorder="1" applyAlignment="1" applyProtection="1">
      <alignment horizontal="center" vertical="top" wrapText="1"/>
      <protection/>
    </xf>
    <xf numFmtId="20" fontId="62" fillId="0" borderId="10" xfId="97" applyNumberFormat="1" applyFont="1" applyFill="1" applyBorder="1" applyAlignment="1">
      <alignment horizontal="center" vertical="top" wrapText="1"/>
      <protection/>
    </xf>
    <xf numFmtId="164" fontId="62" fillId="0" borderId="10" xfId="97" applyNumberFormat="1" applyFont="1" applyFill="1" applyBorder="1" applyAlignment="1">
      <alignment horizontal="center" vertical="top" wrapText="1"/>
      <protection/>
    </xf>
    <xf numFmtId="0" fontId="2" fillId="0" borderId="10" xfId="97" applyFont="1" applyFill="1" applyBorder="1" applyAlignment="1">
      <alignment horizontal="center" vertical="top" wrapText="1"/>
      <protection/>
    </xf>
    <xf numFmtId="9" fontId="2" fillId="0" borderId="10" xfId="97" applyNumberFormat="1" applyFont="1" applyFill="1" applyBorder="1" applyAlignment="1">
      <alignment horizontal="center" vertical="top" wrapText="1"/>
      <protection/>
    </xf>
    <xf numFmtId="20" fontId="2" fillId="0" borderId="10" xfId="97" applyNumberFormat="1" applyFont="1" applyFill="1" applyBorder="1" applyAlignment="1">
      <alignment horizontal="center" vertical="top" wrapText="1"/>
      <protection/>
    </xf>
    <xf numFmtId="0" fontId="62" fillId="0" borderId="10" xfId="97" applyNumberFormat="1" applyFont="1" applyFill="1" applyBorder="1" applyAlignment="1" applyProtection="1">
      <alignment horizontal="center" vertical="top" wrapText="1"/>
      <protection locked="0"/>
    </xf>
    <xf numFmtId="0" fontId="2" fillId="0" borderId="10" xfId="97" applyFont="1" applyBorder="1" applyAlignment="1" applyProtection="1">
      <alignment horizontal="center" vertical="top" wrapText="1"/>
      <protection/>
    </xf>
    <xf numFmtId="0" fontId="2" fillId="0" borderId="10" xfId="0" applyFont="1" applyFill="1" applyBorder="1" applyAlignment="1">
      <alignment horizontal="center" vertical="top" wrapText="1"/>
    </xf>
    <xf numFmtId="0" fontId="62" fillId="0" borderId="10" xfId="0" applyFont="1" applyFill="1" applyBorder="1" applyAlignment="1">
      <alignment horizontal="center" vertical="top" wrapText="1"/>
    </xf>
    <xf numFmtId="0" fontId="62" fillId="0" borderId="10" xfId="0" applyFont="1" applyFill="1" applyBorder="1" applyAlignment="1" applyProtection="1">
      <alignment horizontal="center" vertical="top" wrapText="1"/>
      <protection/>
    </xf>
    <xf numFmtId="0" fontId="2" fillId="0" borderId="10" xfId="0" applyFont="1" applyFill="1" applyBorder="1" applyAlignment="1" applyProtection="1">
      <alignment horizontal="center" vertical="top" wrapText="1"/>
      <protection/>
    </xf>
    <xf numFmtId="2" fontId="62" fillId="0" borderId="10" xfId="0" applyNumberFormat="1" applyFont="1" applyFill="1" applyBorder="1" applyAlignment="1">
      <alignment horizontal="center" vertical="top" wrapText="1"/>
    </xf>
    <xf numFmtId="49" fontId="62" fillId="0" borderId="10" xfId="97" applyNumberFormat="1" applyFont="1" applyFill="1" applyBorder="1" applyAlignment="1">
      <alignment horizontal="center" vertical="top" wrapText="1"/>
      <protection/>
    </xf>
    <xf numFmtId="0" fontId="2" fillId="0" borderId="10" xfId="97" applyFont="1" applyFill="1" applyBorder="1" applyAlignment="1" applyProtection="1">
      <alignment horizontal="center" vertical="top" wrapText="1"/>
      <protection/>
    </xf>
    <xf numFmtId="49" fontId="2" fillId="0" borderId="10" xfId="97" applyNumberFormat="1" applyFont="1" applyFill="1" applyBorder="1" applyAlignment="1">
      <alignment horizontal="center" vertical="top" wrapText="1"/>
      <protection/>
    </xf>
    <xf numFmtId="0" fontId="2" fillId="0" borderId="10" xfId="105" applyFont="1" applyFill="1" applyBorder="1" applyAlignment="1">
      <alignment horizontal="center" vertical="top" wrapText="1"/>
      <protection/>
    </xf>
    <xf numFmtId="0" fontId="62" fillId="0" borderId="10" xfId="105" applyFont="1" applyFill="1" applyBorder="1" applyAlignment="1">
      <alignment horizontal="center" vertical="top" wrapText="1"/>
      <protection/>
    </xf>
    <xf numFmtId="0" fontId="62" fillId="0" borderId="10" xfId="105" applyFont="1" applyFill="1" applyBorder="1" applyAlignment="1" applyProtection="1">
      <alignment horizontal="center" vertical="top" wrapText="1"/>
      <protection/>
    </xf>
    <xf numFmtId="49" fontId="62" fillId="0" borderId="10" xfId="105" applyNumberFormat="1" applyFont="1" applyFill="1" applyBorder="1" applyAlignment="1">
      <alignment horizontal="center" vertical="top" wrapText="1"/>
      <protection/>
    </xf>
    <xf numFmtId="181" fontId="62" fillId="0" borderId="10" xfId="105" applyNumberFormat="1" applyFont="1" applyFill="1" applyBorder="1" applyAlignment="1">
      <alignment horizontal="center" vertical="top" wrapText="1"/>
      <protection/>
    </xf>
    <xf numFmtId="0" fontId="2" fillId="0" borderId="10" xfId="105" applyFont="1" applyBorder="1" applyAlignment="1">
      <alignment horizontal="center" vertical="top" wrapText="1"/>
      <protection/>
    </xf>
    <xf numFmtId="49" fontId="62" fillId="0" borderId="10" xfId="0" applyNumberFormat="1" applyFont="1" applyFill="1" applyBorder="1" applyAlignment="1">
      <alignment horizontal="center" vertical="top" wrapText="1"/>
    </xf>
    <xf numFmtId="14" fontId="2" fillId="0" borderId="10" xfId="97" applyNumberFormat="1" applyFont="1" applyFill="1" applyBorder="1" applyAlignment="1" quotePrefix="1">
      <alignment horizontal="center" vertical="top" wrapText="1"/>
      <protection/>
    </xf>
    <xf numFmtId="182" fontId="62" fillId="0" borderId="10" xfId="97" applyNumberFormat="1" applyFont="1" applyFill="1" applyBorder="1" applyAlignment="1">
      <alignment horizontal="center" vertical="top" wrapText="1"/>
      <protection/>
    </xf>
    <xf numFmtId="182" fontId="2" fillId="0" borderId="10" xfId="97" applyNumberFormat="1" applyFont="1" applyFill="1" applyBorder="1" applyAlignment="1">
      <alignment horizontal="center" vertical="top" wrapText="1"/>
      <protection/>
    </xf>
    <xf numFmtId="166" fontId="2" fillId="0" borderId="10" xfId="97" applyNumberFormat="1" applyFont="1" applyFill="1" applyBorder="1" applyAlignment="1">
      <alignment horizontal="center" vertical="top" wrapText="1"/>
      <protection/>
    </xf>
    <xf numFmtId="20" fontId="2" fillId="0" borderId="10" xfId="97" applyNumberFormat="1" applyFont="1" applyFill="1" applyBorder="1" applyAlignment="1" quotePrefix="1">
      <alignment horizontal="center" vertical="top" wrapText="1"/>
      <protection/>
    </xf>
    <xf numFmtId="165" fontId="2" fillId="0" borderId="10" xfId="97" applyNumberFormat="1" applyFont="1" applyFill="1" applyBorder="1" applyAlignment="1">
      <alignment horizontal="center" vertical="top" wrapText="1"/>
      <protection/>
    </xf>
    <xf numFmtId="20" fontId="62" fillId="0" borderId="10" xfId="97" applyNumberFormat="1" applyFont="1" applyFill="1" applyBorder="1" applyAlignment="1" quotePrefix="1">
      <alignment horizontal="center" vertical="top" wrapText="1"/>
      <protection/>
    </xf>
    <xf numFmtId="0" fontId="2" fillId="0" borderId="10" xfId="105" applyFont="1" applyFill="1" applyBorder="1" applyAlignment="1" applyProtection="1">
      <alignment horizontal="center" vertical="top" wrapText="1"/>
      <protection/>
    </xf>
    <xf numFmtId="164" fontId="2" fillId="0" borderId="10" xfId="97" applyNumberFormat="1" applyFont="1" applyFill="1" applyBorder="1" applyAlignment="1">
      <alignment horizontal="center" vertical="top" wrapText="1"/>
      <protection/>
    </xf>
    <xf numFmtId="180" fontId="2" fillId="0" borderId="23" xfId="0" applyNumberFormat="1" applyFont="1" applyFill="1" applyBorder="1" applyAlignment="1" applyProtection="1">
      <alignment horizontal="center" wrapText="1"/>
      <protection locked="0"/>
    </xf>
    <xf numFmtId="14" fontId="2" fillId="0" borderId="24" xfId="97" applyNumberFormat="1" applyFont="1" applyFill="1" applyBorder="1" applyAlignment="1">
      <alignment horizontal="center" vertical="top" wrapText="1"/>
      <protection/>
    </xf>
    <xf numFmtId="14" fontId="2" fillId="0" borderId="24" xfId="96" applyNumberFormat="1" applyFont="1" applyFill="1" applyBorder="1" applyAlignment="1">
      <alignment horizontal="center" vertical="top" wrapText="1"/>
      <protection/>
    </xf>
    <xf numFmtId="0" fontId="2" fillId="0" borderId="10" xfId="96" applyFont="1" applyFill="1" applyBorder="1" applyAlignment="1">
      <alignment horizontal="center" vertical="top" wrapText="1"/>
      <protection/>
    </xf>
    <xf numFmtId="0" fontId="62" fillId="0" borderId="10" xfId="96" applyFont="1" applyFill="1" applyBorder="1" applyAlignment="1">
      <alignment horizontal="center" vertical="top" wrapText="1"/>
      <protection/>
    </xf>
    <xf numFmtId="0" fontId="62" fillId="0" borderId="10" xfId="96" applyFont="1" applyFill="1" applyBorder="1" applyAlignment="1" applyProtection="1">
      <alignment horizontal="center" vertical="top" wrapText="1"/>
      <protection/>
    </xf>
    <xf numFmtId="20" fontId="62" fillId="0" borderId="10" xfId="96" applyNumberFormat="1" applyFont="1" applyFill="1" applyBorder="1" applyAlignment="1">
      <alignment horizontal="center" vertical="top" wrapText="1"/>
      <protection/>
    </xf>
    <xf numFmtId="164" fontId="62" fillId="0" borderId="10" xfId="96" applyNumberFormat="1" applyFont="1" applyFill="1" applyBorder="1" applyAlignment="1">
      <alignment horizontal="center" vertical="top" wrapText="1"/>
      <protection/>
    </xf>
    <xf numFmtId="0" fontId="2" fillId="0" borderId="24" xfId="97" applyFont="1" applyFill="1" applyBorder="1" applyAlignment="1">
      <alignment horizontal="center" vertical="top" wrapText="1"/>
      <protection/>
    </xf>
    <xf numFmtId="14" fontId="2" fillId="0" borderId="24" xfId="0" applyNumberFormat="1" applyFont="1" applyFill="1" applyBorder="1" applyAlignment="1">
      <alignment horizontal="center" vertical="top" wrapText="1"/>
    </xf>
    <xf numFmtId="180" fontId="2" fillId="0" borderId="24" xfId="97" applyNumberFormat="1" applyFont="1" applyFill="1" applyBorder="1" applyAlignment="1">
      <alignment horizontal="center" vertical="top" wrapText="1"/>
      <protection/>
    </xf>
    <xf numFmtId="180" fontId="2" fillId="0" borderId="24" xfId="96" applyNumberFormat="1" applyFont="1" applyFill="1" applyBorder="1" applyAlignment="1">
      <alignment horizontal="center" vertical="top" wrapText="1"/>
      <protection/>
    </xf>
    <xf numFmtId="180" fontId="2" fillId="0" borderId="24" xfId="0" applyNumberFormat="1" applyFont="1" applyFill="1" applyBorder="1" applyAlignment="1">
      <alignment horizontal="center" vertical="top" wrapText="1"/>
    </xf>
    <xf numFmtId="20" fontId="62" fillId="0" borderId="10" xfId="0" applyNumberFormat="1" applyFont="1" applyFill="1" applyBorder="1" applyAlignment="1">
      <alignment horizontal="center" vertical="top" wrapText="1"/>
    </xf>
    <xf numFmtId="164" fontId="62" fillId="0" borderId="10" xfId="0" applyNumberFormat="1" applyFont="1" applyFill="1" applyBorder="1" applyAlignment="1">
      <alignment horizontal="center" vertical="top" wrapText="1"/>
    </xf>
    <xf numFmtId="49" fontId="62" fillId="0" borderId="10" xfId="96" applyNumberFormat="1" applyFont="1" applyFill="1" applyBorder="1" applyAlignment="1">
      <alignment horizontal="center" vertical="top" wrapText="1"/>
      <protection/>
    </xf>
    <xf numFmtId="0" fontId="62" fillId="0" borderId="10" xfId="96" applyFont="1" applyFill="1" applyBorder="1" applyAlignment="1" quotePrefix="1">
      <alignment horizontal="center" vertical="top" wrapText="1"/>
      <protection/>
    </xf>
    <xf numFmtId="165" fontId="62" fillId="0" borderId="10" xfId="96" applyNumberFormat="1" applyFont="1" applyFill="1" applyBorder="1" applyAlignment="1">
      <alignment horizontal="center" vertical="top" wrapText="1"/>
      <protection/>
    </xf>
    <xf numFmtId="14" fontId="2" fillId="0" borderId="24" xfId="105" applyNumberFormat="1" applyFont="1" applyFill="1" applyBorder="1" applyAlignment="1">
      <alignment horizontal="center" vertical="top" wrapText="1"/>
      <protection/>
    </xf>
    <xf numFmtId="181" fontId="2" fillId="0" borderId="10" xfId="105" applyNumberFormat="1" applyFont="1" applyFill="1" applyBorder="1" applyAlignment="1">
      <alignment horizontal="center" vertical="top" wrapText="1"/>
      <protection/>
    </xf>
    <xf numFmtId="14" fontId="2" fillId="0" borderId="24" xfId="97" applyNumberFormat="1" applyFont="1" applyFill="1" applyBorder="1" applyAlignment="1" quotePrefix="1">
      <alignment horizontal="center" vertical="top" wrapText="1"/>
      <protection/>
    </xf>
    <xf numFmtId="164" fontId="2" fillId="0" borderId="10" xfId="96" applyNumberFormat="1" applyFont="1" applyFill="1" applyBorder="1" applyAlignment="1">
      <alignment horizontal="center" vertical="top" wrapText="1"/>
      <protection/>
    </xf>
    <xf numFmtId="164" fontId="0" fillId="7" borderId="0" xfId="0" applyNumberFormat="1" applyFont="1" applyFill="1" applyBorder="1" applyAlignment="1">
      <alignment horizontal="right" vertical="top" wrapText="1"/>
    </xf>
    <xf numFmtId="164" fontId="0" fillId="5" borderId="0" xfId="0" applyNumberFormat="1" applyFont="1" applyFill="1" applyBorder="1" applyAlignment="1">
      <alignment horizontal="right" vertical="top" wrapText="1"/>
    </xf>
    <xf numFmtId="164" fontId="0" fillId="10" borderId="0" xfId="0" applyNumberFormat="1" applyFont="1" applyFill="1" applyBorder="1" applyAlignment="1">
      <alignment horizontal="right" vertical="top" wrapText="1"/>
    </xf>
    <xf numFmtId="164" fontId="0" fillId="25" borderId="0" xfId="0" applyNumberFormat="1" applyFont="1" applyFill="1" applyBorder="1" applyAlignment="1">
      <alignment horizontal="right" vertical="top" wrapText="1"/>
    </xf>
    <xf numFmtId="164" fontId="0" fillId="24" borderId="0" xfId="0" applyNumberFormat="1" applyFont="1" applyFill="1" applyBorder="1" applyAlignment="1">
      <alignment horizontal="right" vertical="top" wrapText="1"/>
    </xf>
    <xf numFmtId="164" fontId="0" fillId="3" borderId="0" xfId="0" applyNumberFormat="1" applyFont="1" applyFill="1" applyBorder="1" applyAlignment="1">
      <alignment horizontal="right" vertical="top" wrapText="1"/>
    </xf>
    <xf numFmtId="1" fontId="0" fillId="0" borderId="0" xfId="0" applyNumberFormat="1" applyBorder="1" applyAlignment="1">
      <alignment/>
    </xf>
    <xf numFmtId="1" fontId="0" fillId="0" borderId="16" xfId="0" applyNumberFormat="1" applyBorder="1" applyAlignment="1">
      <alignment/>
    </xf>
    <xf numFmtId="164" fontId="1" fillId="0" borderId="14" xfId="0" applyNumberFormat="1" applyFont="1" applyBorder="1" applyAlignment="1">
      <alignment horizontal="center"/>
    </xf>
    <xf numFmtId="0" fontId="0" fillId="20" borderId="13" xfId="0" applyFill="1" applyBorder="1" applyAlignment="1">
      <alignment/>
    </xf>
    <xf numFmtId="0" fontId="1" fillId="20" borderId="0" xfId="0" applyFont="1" applyFill="1" applyBorder="1" applyAlignment="1">
      <alignment/>
    </xf>
    <xf numFmtId="0" fontId="1" fillId="20" borderId="0" xfId="0" applyFont="1" applyFill="1" applyBorder="1" applyAlignment="1">
      <alignment horizontal="left"/>
    </xf>
    <xf numFmtId="1" fontId="1" fillId="20" borderId="0" xfId="0" applyNumberFormat="1" applyFont="1" applyFill="1" applyBorder="1" applyAlignment="1">
      <alignment horizontal="left"/>
    </xf>
    <xf numFmtId="1" fontId="1" fillId="20" borderId="16" xfId="0" applyNumberFormat="1" applyFont="1" applyFill="1" applyBorder="1" applyAlignment="1">
      <alignment horizontal="left"/>
    </xf>
    <xf numFmtId="0" fontId="1" fillId="0" borderId="12" xfId="0" applyFont="1" applyBorder="1" applyAlignment="1">
      <alignment/>
    </xf>
    <xf numFmtId="0" fontId="0" fillId="0" borderId="13"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0" fillId="0" borderId="18" xfId="0" applyBorder="1" applyAlignment="1">
      <alignment/>
    </xf>
    <xf numFmtId="1" fontId="0" fillId="0" borderId="18" xfId="0" applyNumberFormat="1" applyBorder="1" applyAlignment="1">
      <alignment/>
    </xf>
    <xf numFmtId="164" fontId="1" fillId="0" borderId="15" xfId="0" applyNumberFormat="1" applyFont="1" applyBorder="1" applyAlignment="1">
      <alignment horizontal="center"/>
    </xf>
    <xf numFmtId="1" fontId="0" fillId="0" borderId="19" xfId="0" applyNumberFormat="1" applyBorder="1" applyAlignment="1">
      <alignment/>
    </xf>
    <xf numFmtId="0" fontId="0" fillId="0" borderId="16" xfId="0" applyBorder="1" applyAlignment="1">
      <alignment/>
    </xf>
    <xf numFmtId="0" fontId="0" fillId="0" borderId="19" xfId="0" applyBorder="1" applyAlignment="1">
      <alignment/>
    </xf>
    <xf numFmtId="0" fontId="1" fillId="0" borderId="14" xfId="0" applyFont="1" applyBorder="1" applyAlignment="1">
      <alignment/>
    </xf>
    <xf numFmtId="9" fontId="1" fillId="0" borderId="15" xfId="0" applyNumberFormat="1" applyFont="1" applyBorder="1" applyAlignment="1">
      <alignment/>
    </xf>
    <xf numFmtId="179" fontId="1" fillId="0" borderId="16" xfId="101" applyNumberFormat="1" applyFont="1" applyBorder="1" applyAlignment="1">
      <alignment/>
    </xf>
    <xf numFmtId="0" fontId="0" fillId="0" borderId="0" xfId="0" applyFont="1" applyAlignment="1">
      <alignment horizontal="center"/>
    </xf>
    <xf numFmtId="0" fontId="0" fillId="20" borderId="0" xfId="0" applyFont="1" applyFill="1" applyAlignment="1">
      <alignment horizontal="center"/>
    </xf>
    <xf numFmtId="0" fontId="0" fillId="17" borderId="0" xfId="0" applyFont="1" applyFill="1" applyAlignment="1">
      <alignment horizontal="center"/>
    </xf>
    <xf numFmtId="164" fontId="0" fillId="0" borderId="0" xfId="0" applyNumberFormat="1" applyFont="1" applyAlignment="1">
      <alignment horizontal="center"/>
    </xf>
    <xf numFmtId="164" fontId="0" fillId="20" borderId="0" xfId="0" applyNumberFormat="1" applyFont="1" applyFill="1" applyAlignment="1">
      <alignment horizontal="center"/>
    </xf>
    <xf numFmtId="9" fontId="0" fillId="17" borderId="0" xfId="101" applyFont="1" applyFill="1" applyAlignment="1">
      <alignment horizontal="center"/>
    </xf>
    <xf numFmtId="0" fontId="1" fillId="0" borderId="0" xfId="0" applyFont="1" applyAlignment="1">
      <alignment wrapText="1"/>
    </xf>
    <xf numFmtId="0" fontId="1" fillId="0" borderId="0" xfId="0" applyFont="1" applyAlignment="1">
      <alignment horizontal="center" wrapText="1"/>
    </xf>
    <xf numFmtId="0" fontId="1" fillId="20" borderId="0" xfId="0" applyFont="1" applyFill="1" applyAlignment="1">
      <alignment horizontal="center" wrapText="1"/>
    </xf>
    <xf numFmtId="0" fontId="1" fillId="17" borderId="0" xfId="0" applyFont="1" applyFill="1" applyAlignment="1">
      <alignment horizontal="center" wrapText="1"/>
    </xf>
    <xf numFmtId="9" fontId="0" fillId="24" borderId="22" xfId="101" applyNumberFormat="1" applyFill="1" applyBorder="1" applyAlignment="1">
      <alignment/>
    </xf>
    <xf numFmtId="0" fontId="1" fillId="0" borderId="16" xfId="0" applyFont="1" applyBorder="1" applyAlignment="1">
      <alignment/>
    </xf>
    <xf numFmtId="0" fontId="1" fillId="0" borderId="15" xfId="0" applyFont="1" applyBorder="1" applyAlignment="1">
      <alignment/>
    </xf>
    <xf numFmtId="0" fontId="0" fillId="24" borderId="14" xfId="0" applyFill="1" applyBorder="1" applyAlignment="1">
      <alignment/>
    </xf>
    <xf numFmtId="0" fontId="1" fillId="20" borderId="14" xfId="0" applyFont="1" applyFill="1" applyBorder="1" applyAlignment="1">
      <alignment horizontal="centerContinuous"/>
    </xf>
    <xf numFmtId="0" fontId="1" fillId="20" borderId="0" xfId="0" applyFont="1" applyFill="1" applyBorder="1" applyAlignment="1">
      <alignment horizontal="centerContinuous"/>
    </xf>
    <xf numFmtId="0" fontId="0" fillId="20" borderId="0" xfId="0" applyFill="1" applyBorder="1" applyAlignment="1">
      <alignment/>
    </xf>
    <xf numFmtId="0" fontId="0" fillId="0" borderId="22" xfId="0" applyBorder="1" applyAlignment="1">
      <alignment/>
    </xf>
    <xf numFmtId="0" fontId="0" fillId="0" borderId="24" xfId="0" applyBorder="1" applyAlignment="1">
      <alignment/>
    </xf>
    <xf numFmtId="0" fontId="0" fillId="24" borderId="21" xfId="0" applyFill="1" applyBorder="1" applyAlignment="1">
      <alignment/>
    </xf>
    <xf numFmtId="9" fontId="0" fillId="17" borderId="0" xfId="101" applyNumberFormat="1" applyFont="1" applyFill="1" applyAlignment="1">
      <alignment horizontal="center"/>
    </xf>
    <xf numFmtId="0" fontId="0" fillId="0" borderId="0" xfId="0" applyAlignment="1">
      <alignment horizontal="center"/>
    </xf>
    <xf numFmtId="0" fontId="1" fillId="0" borderId="14" xfId="0" applyFont="1" applyBorder="1" applyAlignment="1">
      <alignment horizontal="center"/>
    </xf>
    <xf numFmtId="9" fontId="1" fillId="0" borderId="14" xfId="101" applyNumberFormat="1" applyFont="1" applyBorder="1" applyAlignment="1">
      <alignment horizontal="center"/>
    </xf>
    <xf numFmtId="9" fontId="1" fillId="0" borderId="15" xfId="101" applyNumberFormat="1" applyFont="1" applyBorder="1" applyAlignment="1">
      <alignment horizontal="center"/>
    </xf>
    <xf numFmtId="0" fontId="1" fillId="0" borderId="12" xfId="0" applyFont="1" applyBorder="1" applyAlignment="1">
      <alignment horizontal="left"/>
    </xf>
    <xf numFmtId="1" fontId="0" fillId="7" borderId="10" xfId="0" applyNumberFormat="1" applyFont="1" applyFill="1" applyBorder="1" applyAlignment="1">
      <alignment horizontal="right"/>
    </xf>
    <xf numFmtId="164" fontId="0" fillId="7" borderId="10" xfId="0" applyNumberFormat="1" applyFont="1" applyFill="1" applyBorder="1" applyAlignment="1">
      <alignment horizontal="right"/>
    </xf>
    <xf numFmtId="0" fontId="1" fillId="0" borderId="13" xfId="0" applyFont="1" applyBorder="1" applyAlignment="1">
      <alignment/>
    </xf>
    <xf numFmtId="0" fontId="0" fillId="0" borderId="15" xfId="0" applyBorder="1" applyAlignment="1">
      <alignment/>
    </xf>
    <xf numFmtId="0" fontId="1" fillId="0" borderId="22" xfId="0" applyFont="1" applyBorder="1" applyAlignment="1">
      <alignment horizontal="center" wrapText="1"/>
    </xf>
    <xf numFmtId="0" fontId="1" fillId="0" borderId="24" xfId="0" applyFont="1" applyBorder="1" applyAlignment="1">
      <alignment horizontal="center"/>
    </xf>
    <xf numFmtId="1" fontId="0" fillId="0" borderId="0" xfId="0" applyNumberFormat="1" applyBorder="1" applyAlignment="1">
      <alignment horizontal="center"/>
    </xf>
    <xf numFmtId="9" fontId="1" fillId="0" borderId="18" xfId="101" applyFont="1" applyBorder="1" applyAlignment="1">
      <alignment horizontal="center"/>
    </xf>
    <xf numFmtId="0" fontId="0" fillId="0" borderId="0" xfId="0" applyBorder="1" applyAlignment="1">
      <alignment horizontal="center"/>
    </xf>
    <xf numFmtId="1" fontId="1" fillId="0" borderId="16" xfId="0" applyNumberFormat="1" applyFont="1" applyBorder="1" applyAlignment="1">
      <alignment horizontal="center"/>
    </xf>
    <xf numFmtId="164" fontId="1" fillId="0" borderId="16" xfId="0" applyNumberFormat="1" applyFont="1" applyBorder="1" applyAlignment="1">
      <alignment horizontal="center"/>
    </xf>
    <xf numFmtId="9" fontId="1" fillId="0" borderId="19" xfId="101" applyFont="1" applyBorder="1" applyAlignment="1">
      <alignment horizontal="center"/>
    </xf>
    <xf numFmtId="0" fontId="1" fillId="0" borderId="20" xfId="0" applyFont="1" applyFill="1" applyBorder="1" applyAlignment="1">
      <alignment/>
    </xf>
    <xf numFmtId="0" fontId="1" fillId="0" borderId="25" xfId="0" applyFont="1" applyBorder="1" applyAlignment="1">
      <alignment/>
    </xf>
    <xf numFmtId="0" fontId="23" fillId="0" borderId="0" xfId="92" applyAlignment="1">
      <alignment/>
    </xf>
    <xf numFmtId="164" fontId="0" fillId="0" borderId="0" xfId="0" applyNumberFormat="1" applyAlignment="1">
      <alignment/>
    </xf>
    <xf numFmtId="0" fontId="0" fillId="0" borderId="20" xfId="0" applyFill="1" applyBorder="1" applyAlignment="1">
      <alignment/>
    </xf>
    <xf numFmtId="167" fontId="0" fillId="0" borderId="0" xfId="0" applyNumberFormat="1" applyFont="1" applyFill="1" applyAlignment="1">
      <alignment horizontal="right"/>
    </xf>
    <xf numFmtId="0" fontId="2" fillId="0" borderId="26" xfId="0" applyFont="1" applyFill="1" applyBorder="1" applyAlignment="1">
      <alignment horizontal="center"/>
    </xf>
    <xf numFmtId="44" fontId="2" fillId="0" borderId="27" xfId="84" applyFont="1" applyFill="1" applyBorder="1" applyAlignment="1" applyProtection="1">
      <alignment horizontal="center" wrapText="1"/>
      <protection/>
    </xf>
    <xf numFmtId="0" fontId="62" fillId="0" borderId="28" xfId="0" applyFont="1" applyFill="1" applyBorder="1" applyAlignment="1" applyProtection="1">
      <alignment horizontal="center" wrapText="1"/>
      <protection/>
    </xf>
    <xf numFmtId="0" fontId="62" fillId="0" borderId="29" xfId="0" applyFont="1" applyFill="1" applyBorder="1" applyAlignment="1">
      <alignment horizontal="center" wrapText="1"/>
    </xf>
    <xf numFmtId="0" fontId="62" fillId="0" borderId="27" xfId="0" applyFont="1" applyFill="1" applyBorder="1" applyAlignment="1">
      <alignment horizontal="center" wrapText="1"/>
    </xf>
    <xf numFmtId="0" fontId="62" fillId="0" borderId="28" xfId="0" applyFont="1" applyFill="1" applyBorder="1" applyAlignment="1">
      <alignment horizontal="center" wrapText="1"/>
    </xf>
    <xf numFmtId="0" fontId="2" fillId="0" borderId="29" xfId="0" applyFont="1" applyFill="1" applyBorder="1" applyAlignment="1">
      <alignment horizontal="center" wrapText="1"/>
    </xf>
    <xf numFmtId="0" fontId="2" fillId="0" borderId="28" xfId="0" applyFont="1" applyFill="1" applyBorder="1" applyAlignment="1">
      <alignment horizontal="center" wrapText="1"/>
    </xf>
    <xf numFmtId="0" fontId="2" fillId="0" borderId="27" xfId="0" applyFont="1" applyFill="1" applyBorder="1" applyAlignment="1">
      <alignment horizontal="center" wrapText="1"/>
    </xf>
    <xf numFmtId="0" fontId="2" fillId="0" borderId="23" xfId="0" applyFont="1" applyFill="1" applyBorder="1" applyAlignment="1">
      <alignment horizontal="center" wrapText="1"/>
    </xf>
    <xf numFmtId="164" fontId="0" fillId="17" borderId="10" xfId="97" applyNumberFormat="1" applyFont="1" applyFill="1" applyBorder="1" applyAlignment="1">
      <alignment horizontal="right" vertical="top" wrapText="1"/>
      <protection/>
    </xf>
    <xf numFmtId="164" fontId="0" fillId="17" borderId="10" xfId="0" applyNumberFormat="1" applyFont="1" applyFill="1" applyBorder="1" applyAlignment="1">
      <alignment horizontal="right" vertical="top" wrapText="1"/>
    </xf>
    <xf numFmtId="1" fontId="1" fillId="0" borderId="0" xfId="0" applyNumberFormat="1" applyFont="1" applyFill="1" applyAlignment="1">
      <alignment horizontal="right"/>
    </xf>
    <xf numFmtId="0" fontId="1" fillId="0" borderId="0" xfId="0" applyFont="1" applyFill="1" applyAlignment="1">
      <alignment horizontal="right"/>
    </xf>
    <xf numFmtId="0" fontId="0" fillId="0" borderId="0" xfId="0" applyAlignment="1">
      <alignment horizontal="right"/>
    </xf>
    <xf numFmtId="0" fontId="0" fillId="17" borderId="0" xfId="0" applyFill="1" applyAlignment="1">
      <alignment/>
    </xf>
    <xf numFmtId="1" fontId="62" fillId="0" borderId="29" xfId="0" applyNumberFormat="1" applyFont="1" applyFill="1" applyBorder="1" applyAlignment="1">
      <alignment horizontal="center" wrapText="1"/>
    </xf>
    <xf numFmtId="1" fontId="2" fillId="0" borderId="10" xfId="97" applyNumberFormat="1" applyFont="1" applyFill="1" applyBorder="1" applyAlignment="1">
      <alignment horizontal="center" vertical="top" wrapText="1"/>
      <protection/>
    </xf>
    <xf numFmtId="1" fontId="62" fillId="0" borderId="10" xfId="97" applyNumberFormat="1" applyFont="1" applyFill="1" applyBorder="1" applyAlignment="1">
      <alignment horizontal="center" vertical="top" wrapText="1"/>
      <protection/>
    </xf>
    <xf numFmtId="1" fontId="62" fillId="0" borderId="10" xfId="96" applyNumberFormat="1" applyFont="1" applyFill="1" applyBorder="1" applyAlignment="1">
      <alignment horizontal="center" vertical="top" wrapText="1"/>
      <protection/>
    </xf>
    <xf numFmtId="1" fontId="62" fillId="0"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wrapText="1"/>
    </xf>
    <xf numFmtId="1" fontId="2" fillId="0" borderId="10" xfId="96" applyNumberFormat="1" applyFont="1" applyFill="1" applyBorder="1" applyAlignment="1">
      <alignment horizontal="center" vertical="top" wrapText="1"/>
      <protection/>
    </xf>
    <xf numFmtId="1" fontId="62" fillId="0" borderId="10" xfId="105" applyNumberFormat="1" applyFont="1" applyFill="1" applyBorder="1" applyAlignment="1">
      <alignment horizontal="center" vertical="top" wrapText="1"/>
      <protection/>
    </xf>
    <xf numFmtId="1" fontId="2" fillId="0" borderId="10" xfId="105" applyNumberFormat="1" applyFont="1" applyFill="1" applyBorder="1" applyAlignment="1">
      <alignment horizontal="center" vertical="top" wrapText="1"/>
      <protection/>
    </xf>
    <xf numFmtId="169" fontId="0" fillId="0" borderId="0" xfId="0" applyNumberFormat="1" applyAlignment="1">
      <alignment/>
    </xf>
    <xf numFmtId="1" fontId="0" fillId="24" borderId="10" xfId="0" applyNumberFormat="1" applyFont="1" applyFill="1" applyBorder="1" applyAlignment="1">
      <alignment horizontal="right"/>
    </xf>
    <xf numFmtId="164" fontId="0" fillId="24" borderId="10" xfId="0" applyNumberFormat="1" applyFont="1" applyFill="1" applyBorder="1" applyAlignment="1">
      <alignment horizontal="right"/>
    </xf>
    <xf numFmtId="1" fontId="0" fillId="5" borderId="10" xfId="0" applyNumberFormat="1" applyFont="1" applyFill="1" applyBorder="1" applyAlignment="1">
      <alignment horizontal="right"/>
    </xf>
    <xf numFmtId="164" fontId="0" fillId="5" borderId="10" xfId="0" applyNumberFormat="1" applyFont="1" applyFill="1" applyBorder="1" applyAlignment="1">
      <alignment horizontal="right"/>
    </xf>
    <xf numFmtId="1" fontId="0" fillId="10" borderId="10" xfId="0" applyNumberFormat="1" applyFont="1" applyFill="1" applyBorder="1" applyAlignment="1">
      <alignment horizontal="right"/>
    </xf>
    <xf numFmtId="164" fontId="0" fillId="10" borderId="10" xfId="0" applyNumberFormat="1" applyFont="1" applyFill="1" applyBorder="1" applyAlignment="1">
      <alignment horizontal="right"/>
    </xf>
    <xf numFmtId="1" fontId="0" fillId="25" borderId="10" xfId="0" applyNumberFormat="1" applyFont="1" applyFill="1" applyBorder="1" applyAlignment="1">
      <alignment horizontal="right"/>
    </xf>
    <xf numFmtId="164" fontId="0" fillId="25" borderId="10" xfId="0" applyNumberFormat="1" applyFont="1" applyFill="1" applyBorder="1" applyAlignment="1">
      <alignment horizontal="right"/>
    </xf>
    <xf numFmtId="1" fontId="0" fillId="3" borderId="10" xfId="0" applyNumberFormat="1" applyFont="1" applyFill="1" applyBorder="1" applyAlignment="1">
      <alignment horizontal="right"/>
    </xf>
    <xf numFmtId="164" fontId="0" fillId="3" borderId="10" xfId="0" applyNumberFormat="1" applyFont="1" applyFill="1" applyBorder="1" applyAlignment="1">
      <alignment horizontal="right"/>
    </xf>
    <xf numFmtId="9" fontId="0" fillId="0" borderId="0" xfId="101" applyFont="1" applyFill="1" applyBorder="1" applyAlignment="1">
      <alignment horizontal="right"/>
    </xf>
    <xf numFmtId="0" fontId="0" fillId="0" borderId="0" xfId="0" applyAlignment="1" quotePrefix="1">
      <alignment/>
    </xf>
    <xf numFmtId="0" fontId="0" fillId="0" borderId="0" xfId="0" applyFont="1" applyAlignment="1" quotePrefix="1">
      <alignment/>
    </xf>
    <xf numFmtId="1" fontId="0" fillId="0" borderId="0" xfId="0" applyNumberFormat="1" applyFont="1" applyAlignment="1">
      <alignment horizontal="center"/>
    </xf>
    <xf numFmtId="1" fontId="0" fillId="20" borderId="0" xfId="0" applyNumberFormat="1" applyFont="1" applyFill="1" applyAlignment="1">
      <alignment horizontal="center"/>
    </xf>
    <xf numFmtId="1"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Alignment="1">
      <alignment horizontal="center"/>
    </xf>
    <xf numFmtId="167" fontId="2" fillId="0" borderId="10" xfId="0" applyNumberFormat="1" applyFont="1" applyFill="1" applyBorder="1" applyAlignment="1">
      <alignment horizontal="center"/>
    </xf>
    <xf numFmtId="0" fontId="2" fillId="0" borderId="0" xfId="0" applyFont="1" applyAlignment="1">
      <alignment horizontal="center"/>
    </xf>
    <xf numFmtId="0" fontId="2" fillId="0" borderId="10" xfId="0" applyFont="1" applyFill="1" applyBorder="1" applyAlignment="1">
      <alignment horizontal="right" vertical="top"/>
    </xf>
    <xf numFmtId="0" fontId="6" fillId="0" borderId="0" xfId="0" applyFont="1" applyAlignment="1">
      <alignment/>
    </xf>
    <xf numFmtId="1" fontId="61" fillId="0" borderId="0" xfId="101" applyNumberFormat="1" applyFont="1" applyFill="1" applyAlignment="1">
      <alignment horizontal="right"/>
    </xf>
    <xf numFmtId="0" fontId="0" fillId="0" borderId="0" xfId="0" applyFont="1" applyFill="1" applyBorder="1" applyAlignment="1">
      <alignment horizontal="center" wrapText="1"/>
    </xf>
    <xf numFmtId="3" fontId="0" fillId="0" borderId="0" xfId="0" applyNumberFormat="1" applyAlignment="1">
      <alignment/>
    </xf>
    <xf numFmtId="0" fontId="2" fillId="0" borderId="0" xfId="0" applyFont="1" applyFill="1" applyAlignment="1">
      <alignment/>
    </xf>
    <xf numFmtId="164" fontId="2" fillId="0" borderId="0" xfId="0" applyNumberFormat="1" applyFont="1" applyFill="1" applyAlignment="1">
      <alignment/>
    </xf>
    <xf numFmtId="9" fontId="2" fillId="0" borderId="0" xfId="101" applyFont="1" applyFill="1" applyAlignment="1">
      <alignment/>
    </xf>
    <xf numFmtId="1" fontId="2" fillId="0" borderId="0" xfId="0" applyNumberFormat="1" applyFont="1" applyFill="1" applyAlignment="1">
      <alignment/>
    </xf>
    <xf numFmtId="10" fontId="2" fillId="0" borderId="0" xfId="101" applyNumberFormat="1" applyFont="1" applyFill="1" applyAlignment="1">
      <alignment/>
    </xf>
    <xf numFmtId="0" fontId="62" fillId="0" borderId="28" xfId="0" applyFont="1" applyFill="1" applyBorder="1" applyAlignment="1" applyProtection="1">
      <alignment horizontal="centerContinuous"/>
      <protection/>
    </xf>
    <xf numFmtId="0" fontId="62" fillId="0" borderId="29" xfId="0" applyFont="1" applyFill="1" applyBorder="1" applyAlignment="1">
      <alignment horizontal="centerContinuous"/>
    </xf>
    <xf numFmtId="0" fontId="62" fillId="0" borderId="29" xfId="0" applyFont="1" applyFill="1" applyBorder="1" applyAlignment="1">
      <alignment horizontal="center"/>
    </xf>
    <xf numFmtId="1" fontId="62" fillId="0" borderId="29" xfId="0" applyNumberFormat="1" applyFont="1" applyFill="1" applyBorder="1" applyAlignment="1">
      <alignment horizontal="centerContinuous"/>
    </xf>
    <xf numFmtId="0" fontId="62" fillId="0" borderId="27" xfId="0" applyFont="1" applyFill="1" applyBorder="1" applyAlignment="1">
      <alignment horizontal="centerContinuous"/>
    </xf>
    <xf numFmtId="0" fontId="62" fillId="0" borderId="28" xfId="0" applyFont="1" applyFill="1" applyBorder="1" applyAlignment="1">
      <alignment horizontal="centerContinuous"/>
    </xf>
    <xf numFmtId="0" fontId="62" fillId="0" borderId="30" xfId="0" applyFont="1" applyFill="1" applyBorder="1" applyAlignment="1">
      <alignment horizontal="centerContinuous"/>
    </xf>
    <xf numFmtId="0" fontId="62" fillId="0" borderId="31" xfId="0" applyFont="1" applyFill="1" applyBorder="1" applyAlignment="1">
      <alignment horizontal="centerContinuous"/>
    </xf>
    <xf numFmtId="0" fontId="62" fillId="0" borderId="32" xfId="0" applyFont="1" applyFill="1" applyBorder="1" applyAlignment="1">
      <alignment horizontal="centerContinuous"/>
    </xf>
    <xf numFmtId="0" fontId="62" fillId="0" borderId="28" xfId="0" applyFont="1" applyFill="1" applyBorder="1" applyAlignment="1">
      <alignment horizontal="left"/>
    </xf>
    <xf numFmtId="0" fontId="62" fillId="0" borderId="27" xfId="0" applyFont="1" applyFill="1" applyBorder="1" applyAlignment="1">
      <alignment horizontal="center"/>
    </xf>
    <xf numFmtId="0" fontId="2" fillId="0" borderId="28" xfId="0" applyFont="1" applyFill="1" applyBorder="1" applyAlignment="1">
      <alignment horizontal="centerContinuous"/>
    </xf>
    <xf numFmtId="0" fontId="2" fillId="0" borderId="29" xfId="0" applyFont="1" applyFill="1" applyBorder="1" applyAlignment="1">
      <alignment horizontal="centerContinuous"/>
    </xf>
    <xf numFmtId="0" fontId="2" fillId="0" borderId="27" xfId="0" applyFont="1" applyFill="1" applyBorder="1" applyAlignment="1">
      <alignment horizontal="centerContinuous"/>
    </xf>
    <xf numFmtId="0" fontId="2" fillId="0" borderId="26" xfId="0" applyFont="1" applyFill="1" applyBorder="1" applyAlignment="1">
      <alignment horizontal="right"/>
    </xf>
    <xf numFmtId="0" fontId="2" fillId="26" borderId="0" xfId="0" applyFont="1" applyFill="1" applyAlignment="1">
      <alignment horizontal="center" wrapText="1"/>
    </xf>
    <xf numFmtId="1" fontId="2" fillId="26" borderId="0" xfId="0" applyNumberFormat="1" applyFont="1" applyFill="1" applyAlignment="1">
      <alignment horizontal="center" wrapText="1"/>
    </xf>
    <xf numFmtId="164" fontId="2" fillId="26" borderId="0" xfId="0" applyNumberFormat="1" applyFont="1" applyFill="1" applyAlignment="1">
      <alignment horizontal="center" wrapText="1"/>
    </xf>
    <xf numFmtId="0" fontId="2" fillId="0" borderId="0" xfId="0" applyFont="1" applyAlignment="1">
      <alignment/>
    </xf>
    <xf numFmtId="1" fontId="2" fillId="0" borderId="0" xfId="0" applyNumberFormat="1" applyFont="1" applyAlignment="1">
      <alignment/>
    </xf>
    <xf numFmtId="164" fontId="2" fillId="0" borderId="0" xfId="0" applyNumberFormat="1" applyFont="1" applyAlignment="1">
      <alignment/>
    </xf>
    <xf numFmtId="0" fontId="2" fillId="0" borderId="25" xfId="0" applyFont="1" applyFill="1" applyBorder="1" applyAlignment="1">
      <alignment horizontal="right" vertical="top"/>
    </xf>
    <xf numFmtId="0" fontId="2" fillId="0" borderId="19" xfId="96" applyFont="1" applyFill="1" applyBorder="1" applyAlignment="1">
      <alignment horizontal="center" vertical="top" wrapText="1"/>
      <protection/>
    </xf>
    <xf numFmtId="0" fontId="62" fillId="0" borderId="25" xfId="96" applyFont="1" applyFill="1" applyBorder="1" applyAlignment="1" applyProtection="1">
      <alignment horizontal="center" vertical="top" wrapText="1"/>
      <protection/>
    </xf>
    <xf numFmtId="0" fontId="2" fillId="0" borderId="25" xfId="96" applyFont="1" applyFill="1" applyBorder="1" applyAlignment="1" applyProtection="1">
      <alignment horizontal="center" vertical="top" wrapText="1"/>
      <protection/>
    </xf>
    <xf numFmtId="0" fontId="62" fillId="0" borderId="25" xfId="96" applyFont="1" applyFill="1" applyBorder="1" applyAlignment="1">
      <alignment horizontal="center" vertical="top" wrapText="1"/>
      <protection/>
    </xf>
    <xf numFmtId="20" fontId="62" fillId="0" borderId="25" xfId="96" applyNumberFormat="1" applyFont="1" applyFill="1" applyBorder="1" applyAlignment="1">
      <alignment horizontal="center" vertical="top" wrapText="1"/>
      <protection/>
    </xf>
    <xf numFmtId="1" fontId="62" fillId="0" borderId="25" xfId="96" applyNumberFormat="1" applyFont="1" applyFill="1" applyBorder="1" applyAlignment="1">
      <alignment horizontal="center" vertical="top" wrapText="1"/>
      <protection/>
    </xf>
    <xf numFmtId="164" fontId="62" fillId="0" borderId="25" xfId="97" applyNumberFormat="1" applyFont="1" applyFill="1" applyBorder="1" applyAlignment="1">
      <alignment horizontal="center" vertical="top" wrapText="1"/>
      <protection/>
    </xf>
    <xf numFmtId="0" fontId="2" fillId="0" borderId="25" xfId="0" applyFont="1" applyFill="1" applyBorder="1" applyAlignment="1">
      <alignment vertical="top" wrapText="1"/>
    </xf>
    <xf numFmtId="0" fontId="2" fillId="0" borderId="25" xfId="96" applyFont="1" applyFill="1" applyBorder="1" applyAlignment="1">
      <alignment horizontal="center" vertical="top" wrapText="1"/>
      <protection/>
    </xf>
    <xf numFmtId="9" fontId="2" fillId="0" borderId="0" xfId="101" applyFont="1" applyAlignment="1">
      <alignment/>
    </xf>
    <xf numFmtId="10" fontId="2" fillId="0" borderId="0" xfId="101" applyNumberFormat="1" applyFont="1" applyAlignment="1">
      <alignment/>
    </xf>
    <xf numFmtId="0" fontId="2" fillId="0" borderId="24" xfId="96" applyFont="1" applyFill="1" applyBorder="1" applyAlignment="1">
      <alignment horizontal="center" vertical="top" wrapText="1"/>
      <protection/>
    </xf>
    <xf numFmtId="0" fontId="2" fillId="0" borderId="10" xfId="0" applyFont="1" applyFill="1" applyBorder="1" applyAlignment="1">
      <alignment vertical="top" wrapText="1"/>
    </xf>
    <xf numFmtId="164" fontId="2" fillId="17" borderId="0" xfId="0" applyNumberFormat="1" applyFont="1" applyFill="1" applyAlignment="1">
      <alignment/>
    </xf>
    <xf numFmtId="9" fontId="2" fillId="17" borderId="0" xfId="101" applyFont="1" applyFill="1" applyAlignment="1">
      <alignment/>
    </xf>
    <xf numFmtId="14" fontId="2" fillId="0" borderId="24" xfId="98" applyNumberFormat="1" applyFont="1" applyFill="1" applyBorder="1" applyAlignment="1">
      <alignment horizontal="center" vertical="top" wrapText="1"/>
      <protection/>
    </xf>
    <xf numFmtId="0" fontId="2" fillId="0" borderId="10" xfId="98" applyFont="1" applyFill="1" applyBorder="1" applyAlignment="1" applyProtection="1">
      <alignment horizontal="center" vertical="top" wrapText="1"/>
      <protection/>
    </xf>
    <xf numFmtId="0" fontId="2" fillId="0" borderId="10" xfId="98" applyFont="1" applyFill="1" applyBorder="1" applyAlignment="1">
      <alignment horizontal="center" vertical="top" wrapText="1"/>
      <protection/>
    </xf>
    <xf numFmtId="181" fontId="2" fillId="0" borderId="10" xfId="98" applyNumberFormat="1" applyFont="1" applyFill="1" applyBorder="1" applyAlignment="1" quotePrefix="1">
      <alignment horizontal="center" vertical="top" wrapText="1"/>
      <protection/>
    </xf>
    <xf numFmtId="1" fontId="2" fillId="0" borderId="10" xfId="98" applyNumberFormat="1" applyFont="1" applyFill="1" applyBorder="1" applyAlignment="1">
      <alignment horizontal="center" vertical="top" wrapText="1"/>
      <protection/>
    </xf>
    <xf numFmtId="0" fontId="2" fillId="0" borderId="10" xfId="98" applyFont="1" applyFill="1" applyBorder="1" applyAlignment="1" quotePrefix="1">
      <alignment horizontal="center" vertical="top" wrapText="1"/>
      <protection/>
    </xf>
    <xf numFmtId="164" fontId="2" fillId="0" borderId="0" xfId="0" applyNumberFormat="1" applyFont="1" applyFill="1" applyAlignment="1">
      <alignment horizontal="right"/>
    </xf>
    <xf numFmtId="20" fontId="2" fillId="0" borderId="10" xfId="98" applyNumberFormat="1" applyFont="1" applyFill="1" applyBorder="1" applyAlignment="1" quotePrefix="1">
      <alignment horizontal="center" vertical="top" wrapText="1"/>
      <protection/>
    </xf>
    <xf numFmtId="164" fontId="2" fillId="0" borderId="0" xfId="0" applyNumberFormat="1" applyFont="1" applyAlignment="1">
      <alignment horizontal="right"/>
    </xf>
    <xf numFmtId="49" fontId="2" fillId="0" borderId="10" xfId="105" applyNumberFormat="1" applyFont="1" applyFill="1" applyBorder="1" applyAlignment="1">
      <alignment horizontal="center" vertical="top" wrapText="1"/>
      <protection/>
    </xf>
    <xf numFmtId="14" fontId="2" fillId="0" borderId="24" xfId="15" applyNumberFormat="1" applyFont="1" applyFill="1" applyBorder="1" applyAlignment="1">
      <alignment horizontal="center" vertical="top" wrapText="1"/>
      <protection/>
    </xf>
    <xf numFmtId="0" fontId="2" fillId="0" borderId="10" xfId="15" applyFont="1" applyFill="1" applyBorder="1" applyAlignment="1" applyProtection="1">
      <alignment horizontal="center" vertical="top" wrapText="1"/>
      <protection/>
    </xf>
    <xf numFmtId="0" fontId="2" fillId="0" borderId="10" xfId="15" applyFont="1" applyFill="1" applyBorder="1" applyAlignment="1">
      <alignment horizontal="center" vertical="top" wrapText="1"/>
      <protection/>
    </xf>
    <xf numFmtId="49" fontId="2" fillId="0" borderId="10" xfId="15" applyNumberFormat="1" applyFont="1" applyFill="1" applyBorder="1" applyAlignment="1">
      <alignment horizontal="center" vertical="top" wrapText="1"/>
      <protection/>
    </xf>
    <xf numFmtId="1" fontId="2" fillId="0" borderId="10" xfId="15" applyNumberFormat="1" applyFont="1" applyFill="1" applyBorder="1" applyAlignment="1">
      <alignment horizontal="center" vertical="top" wrapText="1"/>
      <protection/>
    </xf>
    <xf numFmtId="166" fontId="2" fillId="0" borderId="10" xfId="15" applyNumberFormat="1" applyFont="1" applyFill="1" applyBorder="1" applyAlignment="1">
      <alignment horizontal="center" vertical="top" wrapText="1"/>
      <protection/>
    </xf>
    <xf numFmtId="165" fontId="2" fillId="0" borderId="10" xfId="15" applyNumberFormat="1" applyFont="1" applyFill="1" applyBorder="1" applyAlignment="1">
      <alignment horizontal="center" vertical="top" wrapText="1"/>
      <protection/>
    </xf>
    <xf numFmtId="49" fontId="2" fillId="0" borderId="10" xfId="98" applyNumberFormat="1" applyFont="1" applyFill="1" applyBorder="1" applyAlignment="1">
      <alignment horizontal="center" vertical="top" wrapText="1"/>
      <protection/>
    </xf>
    <xf numFmtId="166" fontId="2" fillId="0" borderId="10" xfId="98" applyNumberFormat="1" applyFont="1" applyFill="1" applyBorder="1" applyAlignment="1">
      <alignment horizontal="center" vertical="top" wrapText="1"/>
      <protection/>
    </xf>
    <xf numFmtId="0" fontId="2" fillId="17" borderId="0" xfId="0" applyFont="1" applyFill="1" applyAlignment="1">
      <alignment/>
    </xf>
    <xf numFmtId="0" fontId="2" fillId="10" borderId="0" xfId="0" applyFont="1" applyFill="1" applyAlignment="1">
      <alignment/>
    </xf>
    <xf numFmtId="0" fontId="2" fillId="27" borderId="0" xfId="0" applyFont="1" applyFill="1" applyAlignment="1">
      <alignment/>
    </xf>
    <xf numFmtId="0" fontId="2" fillId="24" borderId="10" xfId="97" applyFont="1" applyFill="1" applyBorder="1" applyAlignment="1">
      <alignment horizontal="center" vertical="top" wrapText="1"/>
      <protection/>
    </xf>
    <xf numFmtId="164" fontId="2" fillId="24" borderId="0" xfId="0" applyNumberFormat="1" applyFont="1" applyFill="1" applyAlignment="1">
      <alignment/>
    </xf>
    <xf numFmtId="9" fontId="2" fillId="24" borderId="0" xfId="0" applyNumberFormat="1" applyFont="1" applyFill="1" applyAlignment="1">
      <alignment/>
    </xf>
    <xf numFmtId="0" fontId="2" fillId="0" borderId="33" xfId="0" applyFont="1" applyFill="1" applyBorder="1" applyAlignment="1">
      <alignment horizontal="center"/>
    </xf>
    <xf numFmtId="0" fontId="2" fillId="0" borderId="34" xfId="0" applyFont="1" applyBorder="1" applyAlignment="1">
      <alignment horizontal="center"/>
    </xf>
  </cellXfs>
  <cellStyles count="137">
    <cellStyle name="Normal" xfId="0"/>
    <cellStyle name="20% - Accent1" xfId="16"/>
    <cellStyle name="20% - Accent2" xfId="17"/>
    <cellStyle name="20% - Accent3" xfId="18"/>
    <cellStyle name="20% - Accent4" xfId="19"/>
    <cellStyle name="20% - Accent5" xfId="20"/>
    <cellStyle name="20% - Accent6" xfId="21"/>
    <cellStyle name="20% - 强调文字颜色 1" xfId="22"/>
    <cellStyle name="20% - 强调文字颜色 2" xfId="23"/>
    <cellStyle name="20% - 强调文字颜色 3" xfId="24"/>
    <cellStyle name="20% - 强调文字颜色 4" xfId="25"/>
    <cellStyle name="20% - 强调文字颜色 5" xfId="26"/>
    <cellStyle name="20% - 强调文字颜色 6" xfId="27"/>
    <cellStyle name="20% - 輔色1" xfId="28"/>
    <cellStyle name="20% - 輔色2" xfId="29"/>
    <cellStyle name="20% - 輔色3" xfId="30"/>
    <cellStyle name="20% - 輔色4" xfId="31"/>
    <cellStyle name="20% - 輔色5" xfId="32"/>
    <cellStyle name="20% - 輔色6" xfId="33"/>
    <cellStyle name="3232" xfId="34"/>
    <cellStyle name="40% - Accent1" xfId="35"/>
    <cellStyle name="40% - Accent2" xfId="36"/>
    <cellStyle name="40% - Accent3" xfId="37"/>
    <cellStyle name="40% - Accent4" xfId="38"/>
    <cellStyle name="40% - Accent5" xfId="39"/>
    <cellStyle name="40% - Accent6" xfId="40"/>
    <cellStyle name="40% - 强调文字颜色 1" xfId="41"/>
    <cellStyle name="40% - 强调文字颜色 2" xfId="42"/>
    <cellStyle name="40% - 强调文字颜色 3" xfId="43"/>
    <cellStyle name="40% - 强调文字颜色 4" xfId="44"/>
    <cellStyle name="40% - 强调文字颜色 5" xfId="45"/>
    <cellStyle name="40% - 强调文字颜色 6" xfId="46"/>
    <cellStyle name="40% - 輔色1" xfId="47"/>
    <cellStyle name="40% - 輔色2" xfId="48"/>
    <cellStyle name="40% - 輔色3" xfId="49"/>
    <cellStyle name="40% - 輔色4" xfId="50"/>
    <cellStyle name="40% - 輔色5" xfId="51"/>
    <cellStyle name="40% - 輔色6" xfId="52"/>
    <cellStyle name="60% - Accent1" xfId="53"/>
    <cellStyle name="60% - Accent2" xfId="54"/>
    <cellStyle name="60% - Accent3" xfId="55"/>
    <cellStyle name="60% - Accent4" xfId="56"/>
    <cellStyle name="60% - Accent5" xfId="57"/>
    <cellStyle name="60% - Accent6" xfId="58"/>
    <cellStyle name="60% - 强调文字颜色 1" xfId="59"/>
    <cellStyle name="60% - 强调文字颜色 2" xfId="60"/>
    <cellStyle name="60% - 强调文字颜色 3" xfId="61"/>
    <cellStyle name="60% - 强调文字颜色 4" xfId="62"/>
    <cellStyle name="60% - 强调文字颜色 5" xfId="63"/>
    <cellStyle name="60% - 强调文字颜色 6" xfId="64"/>
    <cellStyle name="60% - 輔色1" xfId="65"/>
    <cellStyle name="60% - 輔色2" xfId="66"/>
    <cellStyle name="60% - 輔色3" xfId="67"/>
    <cellStyle name="60% - 輔色4" xfId="68"/>
    <cellStyle name="60% - 輔色5" xfId="69"/>
    <cellStyle name="60% - 輔色6" xfId="70"/>
    <cellStyle name="Accent1" xfId="71"/>
    <cellStyle name="Accent2" xfId="72"/>
    <cellStyle name="Accent3" xfId="73"/>
    <cellStyle name="Accent4" xfId="74"/>
    <cellStyle name="Accent5" xfId="75"/>
    <cellStyle name="Accent6" xfId="76"/>
    <cellStyle name="Bad" xfId="77"/>
    <cellStyle name="Calculation" xfId="78"/>
    <cellStyle name="Check Cell" xfId="79"/>
    <cellStyle name="Comma" xfId="80"/>
    <cellStyle name="Comma [0]" xfId="81"/>
    <cellStyle name="Currency" xfId="82"/>
    <cellStyle name="Currency [0]" xfId="83"/>
    <cellStyle name="Currency_NRDC TV Measurements 2004" xfId="84"/>
    <cellStyle name="Explanatory Text" xfId="85"/>
    <cellStyle name="Followed Hyperlink" xfId="86"/>
    <cellStyle name="Good" xfId="87"/>
    <cellStyle name="Heading 1" xfId="88"/>
    <cellStyle name="Heading 2" xfId="89"/>
    <cellStyle name="Heading 3" xfId="90"/>
    <cellStyle name="Heading 4" xfId="91"/>
    <cellStyle name="Hyperlink" xfId="92"/>
    <cellStyle name="Input" xfId="93"/>
    <cellStyle name="Linked Cell" xfId="94"/>
    <cellStyle name="Neutral" xfId="95"/>
    <cellStyle name="Normal_Data" xfId="96"/>
    <cellStyle name="Normal_Sheet1" xfId="97"/>
    <cellStyle name="Normal_Sheet1_1" xfId="98"/>
    <cellStyle name="Note" xfId="99"/>
    <cellStyle name="Output" xfId="100"/>
    <cellStyle name="Percent" xfId="101"/>
    <cellStyle name="Title" xfId="102"/>
    <cellStyle name="Total" xfId="103"/>
    <cellStyle name="Warning Text" xfId="104"/>
    <cellStyle name="一般_Monitor_Data_Collection_Worksheet_31108" xfId="105"/>
    <cellStyle name="中等" xfId="106"/>
    <cellStyle name="備註" xfId="107"/>
    <cellStyle name="合計" xfId="108"/>
    <cellStyle name="壞" xfId="109"/>
    <cellStyle name="好" xfId="110"/>
    <cellStyle name="好_Sheet1" xfId="111"/>
    <cellStyle name="差" xfId="112"/>
    <cellStyle name="强调文字颜色 1" xfId="113"/>
    <cellStyle name="强调文字颜色 2" xfId="114"/>
    <cellStyle name="强调文字颜色 3" xfId="115"/>
    <cellStyle name="强调文字颜色 4" xfId="116"/>
    <cellStyle name="强调文字颜色 5" xfId="117"/>
    <cellStyle name="强调文字颜色 6" xfId="118"/>
    <cellStyle name="标题" xfId="119"/>
    <cellStyle name="标题 1" xfId="120"/>
    <cellStyle name="标题 2" xfId="121"/>
    <cellStyle name="标题 3" xfId="122"/>
    <cellStyle name="标题 4" xfId="123"/>
    <cellStyle name="检查单元格" xfId="124"/>
    <cellStyle name="標題" xfId="125"/>
    <cellStyle name="標題 1" xfId="126"/>
    <cellStyle name="標題 2" xfId="127"/>
    <cellStyle name="標題 3" xfId="128"/>
    <cellStyle name="標題 4" xfId="129"/>
    <cellStyle name="檢查儲存格" xfId="130"/>
    <cellStyle name="汇总" xfId="131"/>
    <cellStyle name="注释" xfId="132"/>
    <cellStyle name="解释性文本" xfId="133"/>
    <cellStyle name="計算方式" xfId="134"/>
    <cellStyle name="說明文字" xfId="135"/>
    <cellStyle name="警告文字" xfId="136"/>
    <cellStyle name="警告文本" xfId="137"/>
    <cellStyle name="计算" xfId="138"/>
    <cellStyle name="輔色1" xfId="139"/>
    <cellStyle name="輔色2" xfId="140"/>
    <cellStyle name="輔色3" xfId="141"/>
    <cellStyle name="輔色4" xfId="142"/>
    <cellStyle name="輔色5" xfId="143"/>
    <cellStyle name="輔色6" xfId="144"/>
    <cellStyle name="輸入" xfId="145"/>
    <cellStyle name="輸出" xfId="146"/>
    <cellStyle name="输入" xfId="147"/>
    <cellStyle name="输出" xfId="148"/>
    <cellStyle name="适中" xfId="149"/>
    <cellStyle name="連結的儲存格" xfId="150"/>
    <cellStyle name="链接单元格" xfId="1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75"/>
          <c:y val="0.0285"/>
          <c:w val="0.86725"/>
          <c:h val="0.67225"/>
        </c:manualLayout>
      </c:layout>
      <c:scatterChart>
        <c:scatterStyle val="lineMarker"/>
        <c:varyColors val="0"/>
        <c:ser>
          <c:idx val="3"/>
          <c:order val="0"/>
          <c:tx>
            <c:v>1.3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'Spec Analysis_ScreenSize'!$G$24:$G$70</c:f>
              <c:numCache>
                <c:ptCount val="47"/>
                <c:pt idx="0">
                  <c:v>131.95</c:v>
                </c:pt>
                <c:pt idx="1">
                  <c:v>132.86</c:v>
                </c:pt>
                <c:pt idx="2">
                  <c:v>130.62195875556</c:v>
                </c:pt>
                <c:pt idx="3">
                  <c:v>130.6224812449625</c:v>
                </c:pt>
                <c:pt idx="4">
                  <c:v>143</c:v>
                </c:pt>
                <c:pt idx="5">
                  <c:v>143</c:v>
                </c:pt>
                <c:pt idx="6">
                  <c:v>143</c:v>
                </c:pt>
                <c:pt idx="7">
                  <c:v>140.97560975609755</c:v>
                </c:pt>
                <c:pt idx="8">
                  <c:v>140.97560975609755</c:v>
                </c:pt>
                <c:pt idx="9">
                  <c:v>140.97560975609755</c:v>
                </c:pt>
                <c:pt idx="10">
                  <c:v>141.51200000000003</c:v>
                </c:pt>
                <c:pt idx="11">
                  <c:v>178.10982508633504</c:v>
                </c:pt>
                <c:pt idx="12">
                  <c:v>140.98</c:v>
                </c:pt>
                <c:pt idx="13">
                  <c:v>140.98</c:v>
                </c:pt>
                <c:pt idx="14">
                  <c:v>141.5957919275839</c:v>
                </c:pt>
                <c:pt idx="15">
                  <c:v>141.5957919275839</c:v>
                </c:pt>
                <c:pt idx="16">
                  <c:v>141.55388976377955</c:v>
                </c:pt>
                <c:pt idx="17">
                  <c:v>141.55388976377955</c:v>
                </c:pt>
                <c:pt idx="18">
                  <c:v>164.75796701593407</c:v>
                </c:pt>
                <c:pt idx="19">
                  <c:v>141.5957919275839</c:v>
                </c:pt>
                <c:pt idx="20">
                  <c:v>226.6638618025027</c:v>
                </c:pt>
                <c:pt idx="21">
                  <c:v>181.3310894420022</c:v>
                </c:pt>
                <c:pt idx="22">
                  <c:v>144</c:v>
                </c:pt>
                <c:pt idx="23">
                  <c:v>144</c:v>
                </c:pt>
                <c:pt idx="24">
                  <c:v>144</c:v>
                </c:pt>
                <c:pt idx="25">
                  <c:v>162.24719101123594</c:v>
                </c:pt>
                <c:pt idx="26">
                  <c:v>162.24719101123594</c:v>
                </c:pt>
                <c:pt idx="27">
                  <c:v>162.24719101123594</c:v>
                </c:pt>
                <c:pt idx="28">
                  <c:v>164.22</c:v>
                </c:pt>
                <c:pt idx="29">
                  <c:v>161.37</c:v>
                </c:pt>
                <c:pt idx="30">
                  <c:v>222.48320711476453</c:v>
                </c:pt>
                <c:pt idx="31">
                  <c:v>160</c:v>
                </c:pt>
                <c:pt idx="32">
                  <c:v>163.16445367044</c:v>
                </c:pt>
                <c:pt idx="33">
                  <c:v>161.45209870419743</c:v>
                </c:pt>
                <c:pt idx="34">
                  <c:v>161.45209870419743</c:v>
                </c:pt>
                <c:pt idx="35">
                  <c:v>161.45209870419743</c:v>
                </c:pt>
                <c:pt idx="36">
                  <c:v>161.45209870419743</c:v>
                </c:pt>
                <c:pt idx="37">
                  <c:v>180</c:v>
                </c:pt>
                <c:pt idx="38">
                  <c:v>180</c:v>
                </c:pt>
                <c:pt idx="39">
                  <c:v>222.48320711476453</c:v>
                </c:pt>
                <c:pt idx="40">
                  <c:v>176.12</c:v>
                </c:pt>
                <c:pt idx="41">
                  <c:v>175.60744497488997</c:v>
                </c:pt>
                <c:pt idx="42">
                  <c:v>175.60511178622357</c:v>
                </c:pt>
                <c:pt idx="43">
                  <c:v>198.8715977431955</c:v>
                </c:pt>
                <c:pt idx="44">
                  <c:v>175.60511178622357</c:v>
                </c:pt>
                <c:pt idx="45">
                  <c:v>160</c:v>
                </c:pt>
                <c:pt idx="46">
                  <c:v>160</c:v>
                </c:pt>
              </c:numCache>
            </c:numRef>
          </c:xVal>
          <c:yVal>
            <c:numRef>
              <c:f>'Spec Analysis_ScreenSize'!$M$24:$M$70</c:f>
              <c:numCache>
                <c:ptCount val="47"/>
                <c:pt idx="0">
                  <c:v>20.717682352817206</c:v>
                </c:pt>
                <c:pt idx="1">
                  <c:v>20.123632726518316</c:v>
                </c:pt>
                <c:pt idx="2">
                  <c:v>15.953684210526326</c:v>
                </c:pt>
                <c:pt idx="3">
                  <c:v>16.301852895148674</c:v>
                </c:pt>
                <c:pt idx="4">
                  <c:v>31.460498648918907</c:v>
                </c:pt>
                <c:pt idx="5">
                  <c:v>28.07161458469273</c:v>
                </c:pt>
                <c:pt idx="6">
                  <c:v>28.772166735454586</c:v>
                </c:pt>
                <c:pt idx="7">
                  <c:v>23.584238972201295</c:v>
                </c:pt>
                <c:pt idx="8">
                  <c:v>16.287918201915993</c:v>
                </c:pt>
                <c:pt idx="9">
                  <c:v>16.47492165139924</c:v>
                </c:pt>
                <c:pt idx="10">
                  <c:v>24.956445452764903</c:v>
                </c:pt>
                <c:pt idx="11">
                  <c:v>23.90199416848902</c:v>
                </c:pt>
                <c:pt idx="12">
                  <c:v>24.84520737282693</c:v>
                </c:pt>
                <c:pt idx="13">
                  <c:v>27.19731779623529</c:v>
                </c:pt>
                <c:pt idx="14">
                  <c:v>22.26643131653294</c:v>
                </c:pt>
                <c:pt idx="15">
                  <c:v>20.433145053226355</c:v>
                </c:pt>
                <c:pt idx="16">
                  <c:v>27.79690232721038</c:v>
                </c:pt>
                <c:pt idx="17">
                  <c:v>23.51309054665498</c:v>
                </c:pt>
                <c:pt idx="18">
                  <c:v>23.32822443267903</c:v>
                </c:pt>
                <c:pt idx="19">
                  <c:v>25.508571649142482</c:v>
                </c:pt>
                <c:pt idx="20">
                  <c:v>27.52552390302617</c:v>
                </c:pt>
                <c:pt idx="21">
                  <c:v>26.00909157328031</c:v>
                </c:pt>
                <c:pt idx="22">
                  <c:v>35.55517324079355</c:v>
                </c:pt>
                <c:pt idx="23">
                  <c:v>30.952141059544168</c:v>
                </c:pt>
                <c:pt idx="24">
                  <c:v>32.1441477632208</c:v>
                </c:pt>
                <c:pt idx="25">
                  <c:v>26.63807512188903</c:v>
                </c:pt>
                <c:pt idx="26">
                  <c:v>17.173569018309067</c:v>
                </c:pt>
                <c:pt idx="27">
                  <c:v>18.452413963878417</c:v>
                </c:pt>
                <c:pt idx="28">
                  <c:v>24.664126623228764</c:v>
                </c:pt>
                <c:pt idx="29">
                  <c:v>30.1746162757061</c:v>
                </c:pt>
                <c:pt idx="30">
                  <c:v>24.245164323032082</c:v>
                </c:pt>
                <c:pt idx="31">
                  <c:v>28.219629551430238</c:v>
                </c:pt>
                <c:pt idx="32">
                  <c:v>29.720000000000013</c:v>
                </c:pt>
                <c:pt idx="33">
                  <c:v>28.872389524584673</c:v>
                </c:pt>
                <c:pt idx="34">
                  <c:v>26.544688410536953</c:v>
                </c:pt>
                <c:pt idx="35">
                  <c:v>26.94495604602905</c:v>
                </c:pt>
                <c:pt idx="36">
                  <c:v>25.480629125289884</c:v>
                </c:pt>
                <c:pt idx="37">
                  <c:v>32.75787597110696</c:v>
                </c:pt>
                <c:pt idx="38">
                  <c:v>36.71475742270884</c:v>
                </c:pt>
                <c:pt idx="39">
                  <c:v>27.61990508729864</c:v>
                </c:pt>
                <c:pt idx="40">
                  <c:v>25.79715617196885</c:v>
                </c:pt>
                <c:pt idx="41">
                  <c:v>27.450859877682454</c:v>
                </c:pt>
                <c:pt idx="42">
                  <c:v>29.401710548338016</c:v>
                </c:pt>
                <c:pt idx="43">
                  <c:v>27.89597053918807</c:v>
                </c:pt>
                <c:pt idx="44">
                  <c:v>27.491246961122773</c:v>
                </c:pt>
                <c:pt idx="45">
                  <c:v>24.681612903225805</c:v>
                </c:pt>
                <c:pt idx="46">
                  <c:v>24.55447592250066</c:v>
                </c:pt>
              </c:numCache>
            </c:numRef>
          </c:yVal>
          <c:smooth val="0"/>
        </c:ser>
        <c:ser>
          <c:idx val="5"/>
          <c:order val="1"/>
          <c:tx>
            <c:v>1.76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xVal>
            <c:numRef>
              <c:f>'Spec Analysis_ScreenSize'!$G$71:$G$102</c:f>
              <c:numCache>
                <c:ptCount val="32"/>
                <c:pt idx="0">
                  <c:v>246.5187890468305</c:v>
                </c:pt>
                <c:pt idx="1">
                  <c:v>246.5187890468305</c:v>
                </c:pt>
                <c:pt idx="2">
                  <c:v>180.2</c:v>
                </c:pt>
                <c:pt idx="3">
                  <c:v>180.2</c:v>
                </c:pt>
                <c:pt idx="4">
                  <c:v>183.4623</c:v>
                </c:pt>
                <c:pt idx="5">
                  <c:v>182.97</c:v>
                </c:pt>
                <c:pt idx="6">
                  <c:v>185.76</c:v>
                </c:pt>
                <c:pt idx="7">
                  <c:v>181.39</c:v>
                </c:pt>
                <c:pt idx="8">
                  <c:v>181.39</c:v>
                </c:pt>
                <c:pt idx="9">
                  <c:v>181.9996527993056</c:v>
                </c:pt>
                <c:pt idx="10">
                  <c:v>181.9996527993056</c:v>
                </c:pt>
                <c:pt idx="11">
                  <c:v>214.6226613186878</c:v>
                </c:pt>
                <c:pt idx="12">
                  <c:v>256.4096586549384</c:v>
                </c:pt>
                <c:pt idx="13">
                  <c:v>217.2725</c:v>
                </c:pt>
                <c:pt idx="14">
                  <c:v>228</c:v>
                </c:pt>
                <c:pt idx="15">
                  <c:v>228</c:v>
                </c:pt>
                <c:pt idx="16">
                  <c:v>217.7622</c:v>
                </c:pt>
                <c:pt idx="17">
                  <c:v>217.52808988764048</c:v>
                </c:pt>
                <c:pt idx="18">
                  <c:v>217.52808988764048</c:v>
                </c:pt>
                <c:pt idx="19">
                  <c:v>220.66</c:v>
                </c:pt>
                <c:pt idx="20">
                  <c:v>218.79</c:v>
                </c:pt>
                <c:pt idx="21">
                  <c:v>217.45899999999997</c:v>
                </c:pt>
                <c:pt idx="22">
                  <c:v>217.45899999999997</c:v>
                </c:pt>
                <c:pt idx="23">
                  <c:v>298.28773474666485</c:v>
                </c:pt>
                <c:pt idx="24">
                  <c:v>298.28773474666485</c:v>
                </c:pt>
                <c:pt idx="25">
                  <c:v>298.28773474666485</c:v>
                </c:pt>
                <c:pt idx="26">
                  <c:v>215.76</c:v>
                </c:pt>
                <c:pt idx="27">
                  <c:v>217.43495566991137</c:v>
                </c:pt>
                <c:pt idx="28">
                  <c:v>217.43495566991137</c:v>
                </c:pt>
                <c:pt idx="29">
                  <c:v>217.43495566991137</c:v>
                </c:pt>
                <c:pt idx="30">
                  <c:v>228</c:v>
                </c:pt>
                <c:pt idx="31">
                  <c:v>414.6</c:v>
                </c:pt>
              </c:numCache>
            </c:numRef>
          </c:xVal>
          <c:yVal>
            <c:numRef>
              <c:f>'Spec Analysis_ScreenSize'!$M$71:$M$102</c:f>
              <c:numCache>
                <c:ptCount val="32"/>
                <c:pt idx="0">
                  <c:v>32.73574175927434</c:v>
                </c:pt>
                <c:pt idx="1">
                  <c:v>34.172694007653035</c:v>
                </c:pt>
                <c:pt idx="2">
                  <c:v>31.408785198732645</c:v>
                </c:pt>
                <c:pt idx="3">
                  <c:v>31.227779769155454</c:v>
                </c:pt>
                <c:pt idx="4">
                  <c:v>29.440862531722825</c:v>
                </c:pt>
                <c:pt idx="5">
                  <c:v>28.025647454514264</c:v>
                </c:pt>
                <c:pt idx="6">
                  <c:v>29.683733965392896</c:v>
                </c:pt>
                <c:pt idx="7">
                  <c:v>27.253608595441534</c:v>
                </c:pt>
                <c:pt idx="8">
                  <c:v>27.12635775304168</c:v>
                </c:pt>
                <c:pt idx="9">
                  <c:v>30.321305108719105</c:v>
                </c:pt>
                <c:pt idx="10">
                  <c:v>28.251789290309176</c:v>
                </c:pt>
                <c:pt idx="11">
                  <c:v>31.445078474813574</c:v>
                </c:pt>
                <c:pt idx="12">
                  <c:v>34.217554451280755</c:v>
                </c:pt>
                <c:pt idx="13">
                  <c:v>35.394944960954014</c:v>
                </c:pt>
                <c:pt idx="14">
                  <c:v>39.380021143252065</c:v>
                </c:pt>
                <c:pt idx="15">
                  <c:v>41.910033987930575</c:v>
                </c:pt>
                <c:pt idx="16">
                  <c:v>34.29314130433882</c:v>
                </c:pt>
                <c:pt idx="17">
                  <c:v>29.690044128726722</c:v>
                </c:pt>
                <c:pt idx="18">
                  <c:v>29.655328970729975</c:v>
                </c:pt>
                <c:pt idx="19">
                  <c:v>29.89723756309553</c:v>
                </c:pt>
                <c:pt idx="20">
                  <c:v>34.25661917532718</c:v>
                </c:pt>
                <c:pt idx="21">
                  <c:v>28.32234647999545</c:v>
                </c:pt>
                <c:pt idx="22">
                  <c:v>28.389605499614913</c:v>
                </c:pt>
                <c:pt idx="23">
                  <c:v>36.737881483508964</c:v>
                </c:pt>
                <c:pt idx="24">
                  <c:v>28.87644967167497</c:v>
                </c:pt>
                <c:pt idx="25">
                  <c:v>32.22847107438017</c:v>
                </c:pt>
                <c:pt idx="26">
                  <c:v>32.63301213327214</c:v>
                </c:pt>
                <c:pt idx="27">
                  <c:v>35.537557831262674</c:v>
                </c:pt>
                <c:pt idx="28">
                  <c:v>33.19246794491977</c:v>
                </c:pt>
                <c:pt idx="29">
                  <c:v>30.96518285023582</c:v>
                </c:pt>
                <c:pt idx="30">
                  <c:v>29.341084416580447</c:v>
                </c:pt>
                <c:pt idx="31">
                  <c:v>26.694295467267487</c:v>
                </c:pt>
              </c:numCache>
            </c:numRef>
          </c:yVal>
          <c:smooth val="0"/>
        </c:ser>
        <c:ser>
          <c:idx val="6"/>
          <c:order val="2"/>
          <c:tx>
            <c:v>2.3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66FF"/>
              </a:solidFill>
              <a:ln>
                <a:solidFill>
                  <a:srgbClr val="3366FF"/>
                </a:solidFill>
              </a:ln>
            </c:spPr>
          </c:marker>
          <c:xVal>
            <c:numRef>
              <c:f>'Spec Analysis_ScreenSize'!$G$103:$G$119</c:f>
              <c:numCache>
                <c:ptCount val="17"/>
                <c:pt idx="0">
                  <c:v>258.06</c:v>
                </c:pt>
                <c:pt idx="1">
                  <c:v>262.4769</c:v>
                </c:pt>
                <c:pt idx="2">
                  <c:v>260.1</c:v>
                </c:pt>
                <c:pt idx="3">
                  <c:v>260.1</c:v>
                </c:pt>
                <c:pt idx="4">
                  <c:v>259.08</c:v>
                </c:pt>
                <c:pt idx="5">
                  <c:v>260.3410006820014</c:v>
                </c:pt>
                <c:pt idx="6">
                  <c:v>260.3410006820014</c:v>
                </c:pt>
                <c:pt idx="7">
                  <c:v>260.34100068200144</c:v>
                </c:pt>
                <c:pt idx="8">
                  <c:v>260.4316</c:v>
                </c:pt>
                <c:pt idx="9">
                  <c:v>261.45210000000003</c:v>
                </c:pt>
                <c:pt idx="10">
                  <c:v>260.4316</c:v>
                </c:pt>
                <c:pt idx="11">
                  <c:v>293.13271746543495</c:v>
                </c:pt>
                <c:pt idx="12">
                  <c:v>293.13271746543495</c:v>
                </c:pt>
                <c:pt idx="13">
                  <c:v>416.61675348914355</c:v>
                </c:pt>
                <c:pt idx="14">
                  <c:v>416.61675348914355</c:v>
                </c:pt>
                <c:pt idx="15">
                  <c:v>327.47</c:v>
                </c:pt>
                <c:pt idx="16">
                  <c:v>327.47</c:v>
                </c:pt>
              </c:numCache>
            </c:numRef>
          </c:xVal>
          <c:yVal>
            <c:numRef>
              <c:f>'Spec Analysis_ScreenSize'!$M$103:$M$119</c:f>
              <c:numCache>
                <c:ptCount val="17"/>
                <c:pt idx="0">
                  <c:v>57.69037577482213</c:v>
                </c:pt>
                <c:pt idx="1">
                  <c:v>58.770899093820155</c:v>
                </c:pt>
                <c:pt idx="2">
                  <c:v>54.943617063009505</c:v>
                </c:pt>
                <c:pt idx="3">
                  <c:v>57.91056513230305</c:v>
                </c:pt>
                <c:pt idx="4">
                  <c:v>48.10273086938313</c:v>
                </c:pt>
                <c:pt idx="5">
                  <c:v>46.74800450342184</c:v>
                </c:pt>
                <c:pt idx="6">
                  <c:v>42.908676722254945</c:v>
                </c:pt>
                <c:pt idx="7">
                  <c:v>40.94676772543726</c:v>
                </c:pt>
                <c:pt idx="8">
                  <c:v>56.76031429332017</c:v>
                </c:pt>
                <c:pt idx="9">
                  <c:v>44.105717824986876</c:v>
                </c:pt>
                <c:pt idx="10">
                  <c:v>42.153347344895934</c:v>
                </c:pt>
                <c:pt idx="11">
                  <c:v>55.24772930648769</c:v>
                </c:pt>
                <c:pt idx="12">
                  <c:v>51.398183445190156</c:v>
                </c:pt>
                <c:pt idx="13">
                  <c:v>35.25</c:v>
                </c:pt>
                <c:pt idx="14">
                  <c:v>54.651165944787145</c:v>
                </c:pt>
                <c:pt idx="15">
                  <c:v>63.6158856922929</c:v>
                </c:pt>
                <c:pt idx="16">
                  <c:v>67.97898506721903</c:v>
                </c:pt>
              </c:numCache>
            </c:numRef>
          </c:yVal>
          <c:smooth val="0"/>
        </c:ser>
        <c:ser>
          <c:idx val="2"/>
          <c:order val="3"/>
          <c:tx>
            <c:v>ENERGY STAR, 1.1 MP</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50</c:v>
                </c:pt>
                <c:pt idx="2">
                  <c:v>100</c:v>
                </c:pt>
                <c:pt idx="3">
                  <c:v>150</c:v>
                </c:pt>
                <c:pt idx="4">
                  <c:v>200</c:v>
                </c:pt>
                <c:pt idx="5">
                  <c:v>250</c:v>
                </c:pt>
                <c:pt idx="6">
                  <c:v>300</c:v>
                </c:pt>
                <c:pt idx="7">
                  <c:v>350</c:v>
                </c:pt>
                <c:pt idx="8">
                  <c:v>400</c:v>
                </c:pt>
                <c:pt idx="9">
                  <c:v>450</c:v>
                </c:pt>
              </c:numCache>
            </c:numRef>
          </c:xVal>
          <c:yVal>
            <c:numRef>
              <c:f>'Power Charts'!#REF!</c:f>
              <c:numCache>
                <c:ptCount val="1"/>
                <c:pt idx="0">
                  <c:v>1</c:v>
                </c:pt>
              </c:numCache>
            </c:numRef>
          </c:yVal>
          <c:smooth val="0"/>
        </c:ser>
        <c:ser>
          <c:idx val="4"/>
          <c:order val="4"/>
          <c:tx>
            <c:v>ENERGY STAR, 1.3 MP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50</c:v>
                </c:pt>
                <c:pt idx="2">
                  <c:v>100</c:v>
                </c:pt>
                <c:pt idx="3">
                  <c:v>150</c:v>
                </c:pt>
                <c:pt idx="4">
                  <c:v>200</c:v>
                </c:pt>
                <c:pt idx="5">
                  <c:v>250</c:v>
                </c:pt>
                <c:pt idx="6">
                  <c:v>300</c:v>
                </c:pt>
                <c:pt idx="7">
                  <c:v>350</c:v>
                </c:pt>
                <c:pt idx="8">
                  <c:v>400</c:v>
                </c:pt>
                <c:pt idx="9">
                  <c:v>450</c:v>
                </c:pt>
              </c:numCache>
            </c:numRef>
          </c:xVal>
          <c:yVal>
            <c:numRef>
              <c:f>'Power Charts'!$N$25:$N$34</c:f>
              <c:numCache>
                <c:ptCount val="10"/>
                <c:pt idx="0">
                  <c:v>14.700000000000001</c:v>
                </c:pt>
                <c:pt idx="1">
                  <c:v>17.200000000000003</c:v>
                </c:pt>
                <c:pt idx="2">
                  <c:v>19.700000000000003</c:v>
                </c:pt>
                <c:pt idx="3">
                  <c:v>22.200000000000003</c:v>
                </c:pt>
                <c:pt idx="4">
                  <c:v>24.700000000000003</c:v>
                </c:pt>
                <c:pt idx="5">
                  <c:v>27.200000000000003</c:v>
                </c:pt>
                <c:pt idx="6">
                  <c:v>29.700000000000003</c:v>
                </c:pt>
                <c:pt idx="7">
                  <c:v>32.2</c:v>
                </c:pt>
                <c:pt idx="8">
                  <c:v>34.7</c:v>
                </c:pt>
                <c:pt idx="9">
                  <c:v>37.2</c:v>
                </c:pt>
              </c:numCache>
            </c:numRef>
          </c:yVal>
          <c:smooth val="0"/>
        </c:ser>
        <c:ser>
          <c:idx val="7"/>
          <c:order val="5"/>
          <c:tx>
            <c:v>ENERGY STAR, 1.76 MP</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50</c:v>
                </c:pt>
                <c:pt idx="2">
                  <c:v>100</c:v>
                </c:pt>
                <c:pt idx="3">
                  <c:v>150</c:v>
                </c:pt>
                <c:pt idx="4">
                  <c:v>200</c:v>
                </c:pt>
                <c:pt idx="5">
                  <c:v>250</c:v>
                </c:pt>
                <c:pt idx="6">
                  <c:v>300</c:v>
                </c:pt>
                <c:pt idx="7">
                  <c:v>350</c:v>
                </c:pt>
                <c:pt idx="8">
                  <c:v>400</c:v>
                </c:pt>
                <c:pt idx="9">
                  <c:v>450</c:v>
                </c:pt>
              </c:numCache>
            </c:numRef>
          </c:xVal>
          <c:yVal>
            <c:numRef>
              <c:f>'Power Charts'!$P$25:$P$34</c:f>
              <c:numCache>
                <c:ptCount val="10"/>
                <c:pt idx="0">
                  <c:v>18.84</c:v>
                </c:pt>
                <c:pt idx="1">
                  <c:v>21.34</c:v>
                </c:pt>
                <c:pt idx="2">
                  <c:v>23.84</c:v>
                </c:pt>
                <c:pt idx="3">
                  <c:v>26.34</c:v>
                </c:pt>
                <c:pt idx="4">
                  <c:v>28.84</c:v>
                </c:pt>
                <c:pt idx="5">
                  <c:v>31.34</c:v>
                </c:pt>
                <c:pt idx="6">
                  <c:v>33.84</c:v>
                </c:pt>
                <c:pt idx="7">
                  <c:v>36.34</c:v>
                </c:pt>
                <c:pt idx="8">
                  <c:v>38.84</c:v>
                </c:pt>
                <c:pt idx="9">
                  <c:v>41.34</c:v>
                </c:pt>
              </c:numCache>
            </c:numRef>
          </c:yVal>
          <c:smooth val="0"/>
        </c:ser>
        <c:ser>
          <c:idx val="8"/>
          <c:order val="6"/>
          <c:tx>
            <c:v>ENERGY STAR, 2.3 MP</c:v>
          </c:tx>
          <c:spPr>
            <a:ln w="3175">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50</c:v>
                </c:pt>
                <c:pt idx="2">
                  <c:v>100</c:v>
                </c:pt>
                <c:pt idx="3">
                  <c:v>150</c:v>
                </c:pt>
                <c:pt idx="4">
                  <c:v>200</c:v>
                </c:pt>
                <c:pt idx="5">
                  <c:v>250</c:v>
                </c:pt>
                <c:pt idx="6">
                  <c:v>300</c:v>
                </c:pt>
                <c:pt idx="7">
                  <c:v>350</c:v>
                </c:pt>
                <c:pt idx="8">
                  <c:v>400</c:v>
                </c:pt>
                <c:pt idx="9">
                  <c:v>450</c:v>
                </c:pt>
              </c:numCache>
            </c:numRef>
          </c:xVal>
          <c:yVal>
            <c:numRef>
              <c:f>'Power Charts'!$R$25:$R$34</c:f>
              <c:numCache>
                <c:ptCount val="10"/>
                <c:pt idx="0">
                  <c:v>23.7</c:v>
                </c:pt>
                <c:pt idx="1">
                  <c:v>26.2</c:v>
                </c:pt>
                <c:pt idx="2">
                  <c:v>28.7</c:v>
                </c:pt>
                <c:pt idx="3">
                  <c:v>31.2</c:v>
                </c:pt>
                <c:pt idx="4">
                  <c:v>33.7</c:v>
                </c:pt>
                <c:pt idx="5">
                  <c:v>36.2</c:v>
                </c:pt>
                <c:pt idx="6">
                  <c:v>38.7</c:v>
                </c:pt>
                <c:pt idx="7">
                  <c:v>41.2</c:v>
                </c:pt>
                <c:pt idx="8">
                  <c:v>43.7</c:v>
                </c:pt>
                <c:pt idx="9">
                  <c:v>46.2</c:v>
                </c:pt>
              </c:numCache>
            </c:numRef>
          </c:yVal>
          <c:smooth val="0"/>
        </c:ser>
        <c:axId val="50867442"/>
        <c:axId val="55153795"/>
      </c:scatterChart>
      <c:valAx>
        <c:axId val="50867442"/>
        <c:scaling>
          <c:orientation val="minMax"/>
          <c:max val="450"/>
        </c:scaling>
        <c:axPos val="b"/>
        <c:title>
          <c:tx>
            <c:rich>
              <a:bodyPr vert="horz" rot="0" anchor="ctr"/>
              <a:lstStyle/>
              <a:p>
                <a:pPr algn="ctr">
                  <a:defRPr/>
                </a:pPr>
                <a:r>
                  <a:rPr lang="en-US" cap="none" sz="800" b="0" i="0" u="none" baseline="0">
                    <a:latin typeface="Arial"/>
                    <a:ea typeface="Arial"/>
                    <a:cs typeface="Arial"/>
                  </a:rPr>
                  <a:t>Screen Area (in2)</a:t>
                </a:r>
              </a:p>
            </c:rich>
          </c:tx>
          <c:layout/>
          <c:overlay val="0"/>
          <c:spPr>
            <a:noFill/>
            <a:ln>
              <a:noFill/>
            </a:ln>
          </c:spPr>
        </c:title>
        <c:delete val="0"/>
        <c:numFmt formatCode="0" sourceLinked="0"/>
        <c:majorTickMark val="out"/>
        <c:minorTickMark val="none"/>
        <c:tickLblPos val="nextTo"/>
        <c:crossAx val="55153795"/>
        <c:crosses val="autoZero"/>
        <c:crossBetween val="midCat"/>
        <c:dispUnits/>
      </c:valAx>
      <c:valAx>
        <c:axId val="55153795"/>
        <c:scaling>
          <c:orientation val="minMax"/>
          <c:max val="120"/>
          <c:min val="0"/>
        </c:scaling>
        <c:axPos val="l"/>
        <c:title>
          <c:tx>
            <c:rich>
              <a:bodyPr vert="horz" rot="-5400000" anchor="ctr"/>
              <a:lstStyle/>
              <a:p>
                <a:pPr algn="ctr">
                  <a:defRPr/>
                </a:pPr>
                <a:r>
                  <a:rPr lang="en-US"/>
                  <a:t>On Power (W)</a:t>
                </a:r>
              </a:p>
            </c:rich>
          </c:tx>
          <c:layout/>
          <c:overlay val="0"/>
          <c:spPr>
            <a:noFill/>
            <a:ln>
              <a:noFill/>
            </a:ln>
          </c:spPr>
        </c:title>
        <c:majorGridlines/>
        <c:delete val="0"/>
        <c:numFmt formatCode="0" sourceLinked="0"/>
        <c:majorTickMark val="out"/>
        <c:minorTickMark val="none"/>
        <c:tickLblPos val="nextTo"/>
        <c:crossAx val="50867442"/>
        <c:crosses val="autoZero"/>
        <c:crossBetween val="midCat"/>
        <c:dispUnits/>
        <c:majorUnit val="20"/>
      </c:valAx>
      <c:spPr>
        <a:noFill/>
        <a:ln>
          <a:noFill/>
        </a:ln>
      </c:spPr>
    </c:plotArea>
    <c:legend>
      <c:legendPos val="b"/>
      <c:layout>
        <c:manualLayout>
          <c:xMode val="edge"/>
          <c:yMode val="edge"/>
          <c:x val="0.0665"/>
          <c:y val="0.79425"/>
          <c:w val="0.8355"/>
          <c:h val="0.205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3975"/>
          <c:w val="0.8975"/>
          <c:h val="0.6685"/>
        </c:manualLayout>
      </c:layout>
      <c:scatterChart>
        <c:scatterStyle val="lineMarker"/>
        <c:varyColors val="0"/>
        <c:ser>
          <c:idx val="1"/>
          <c:order val="0"/>
          <c:tx>
            <c:v>&lt; 1.1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969696"/>
                </a:solidFill>
              </a:ln>
            </c:spPr>
          </c:marker>
          <c:xVal>
            <c:numRef>
              <c:f>('Spec Analysis_ScreenSize'!$G$120:$G$122,'Spec Analysis_ScreenSize'!$G$124:$G$126,'Spec Analysis_ScreenSize'!$G$132,'Spec Analysis_ScreenSize'!$G$138)</c:f>
              <c:numCache>
                <c:ptCount val="8"/>
                <c:pt idx="0">
                  <c:v>529.23</c:v>
                </c:pt>
                <c:pt idx="1">
                  <c:v>777.8753709198813</c:v>
                </c:pt>
                <c:pt idx="2">
                  <c:v>684.04</c:v>
                </c:pt>
                <c:pt idx="3">
                  <c:v>740.52</c:v>
                </c:pt>
                <c:pt idx="4">
                  <c:v>1607.406528189911</c:v>
                </c:pt>
                <c:pt idx="5">
                  <c:v>902.25</c:v>
                </c:pt>
                <c:pt idx="6">
                  <c:v>1065.75</c:v>
                </c:pt>
                <c:pt idx="7">
                  <c:v>1515.48</c:v>
                </c:pt>
              </c:numCache>
            </c:numRef>
          </c:xVal>
          <c:yVal>
            <c:numRef>
              <c:f>('Spec Analysis_ScreenSize'!$M$120:$M$122,'Spec Analysis_ScreenSize'!$M$124:$M$126,'Spec Analysis_ScreenSize'!$M$132,'Spec Analysis_ScreenSize'!$M$138)</c:f>
              <c:numCache>
                <c:ptCount val="8"/>
                <c:pt idx="0">
                  <c:v>87.71189216653218</c:v>
                </c:pt>
                <c:pt idx="1">
                  <c:v>119.07230055505649</c:v>
                </c:pt>
                <c:pt idx="2">
                  <c:v>134.6616459329685</c:v>
                </c:pt>
                <c:pt idx="3">
                  <c:v>292</c:v>
                </c:pt>
                <c:pt idx="4">
                  <c:v>210.53151346099602</c:v>
                </c:pt>
                <c:pt idx="5">
                  <c:v>148.28467578457895</c:v>
                </c:pt>
                <c:pt idx="6">
                  <c:v>322</c:v>
                </c:pt>
                <c:pt idx="7">
                  <c:v>465</c:v>
                </c:pt>
              </c:numCache>
            </c:numRef>
          </c:yVal>
          <c:smooth val="0"/>
        </c:ser>
        <c:ser>
          <c:idx val="2"/>
          <c:order val="1"/>
          <c:tx>
            <c:v>ENERGY STAR, &lt; 1.1 MP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Charts'!$K$48:$K$57</c:f>
              <c:numCache>
                <c:ptCount val="10"/>
                <c:pt idx="0">
                  <c:v>0</c:v>
                </c:pt>
                <c:pt idx="1">
                  <c:v>200</c:v>
                </c:pt>
                <c:pt idx="2">
                  <c:v>350</c:v>
                </c:pt>
                <c:pt idx="3">
                  <c:v>500</c:v>
                </c:pt>
                <c:pt idx="4">
                  <c:v>1000</c:v>
                </c:pt>
                <c:pt idx="5">
                  <c:v>2000</c:v>
                </c:pt>
                <c:pt idx="6">
                  <c:v>3000</c:v>
                </c:pt>
                <c:pt idx="7">
                  <c:v>4000</c:v>
                </c:pt>
                <c:pt idx="8">
                  <c:v>5000</c:v>
                </c:pt>
                <c:pt idx="9">
                  <c:v>6000</c:v>
                </c:pt>
              </c:numCache>
            </c:numRef>
          </c:xVal>
          <c:yVal>
            <c:numRef>
              <c:f>'Power Charts'!$N$48:$N$57</c:f>
              <c:numCache>
                <c:ptCount val="10"/>
                <c:pt idx="0">
                  <c:v>39</c:v>
                </c:pt>
                <c:pt idx="1">
                  <c:v>63</c:v>
                </c:pt>
                <c:pt idx="2">
                  <c:v>81</c:v>
                </c:pt>
                <c:pt idx="3">
                  <c:v>99</c:v>
                </c:pt>
                <c:pt idx="4">
                  <c:v>159</c:v>
                </c:pt>
                <c:pt idx="5">
                  <c:v>279</c:v>
                </c:pt>
                <c:pt idx="6">
                  <c:v>399</c:v>
                </c:pt>
                <c:pt idx="7">
                  <c:v>519</c:v>
                </c:pt>
                <c:pt idx="8">
                  <c:v>639</c:v>
                </c:pt>
                <c:pt idx="9">
                  <c:v>759</c:v>
                </c:pt>
              </c:numCache>
            </c:numRef>
          </c:yVal>
          <c:smooth val="0"/>
        </c:ser>
        <c:ser>
          <c:idx val="3"/>
          <c:order val="2"/>
          <c:tx>
            <c:v>2.1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('Spec Analysis_ScreenSize'!$G$123,'Spec Analysis_ScreenSize'!$G$127:$G$131,'Spec Analysis_ScreenSize'!$G$133:$G$137,'Spec Analysis_ScreenSize'!$G$139:$G$142)</c:f>
              <c:numCache>
                <c:ptCount val="15"/>
                <c:pt idx="0">
                  <c:v>684.04</c:v>
                </c:pt>
                <c:pt idx="1">
                  <c:v>1222.6256</c:v>
                </c:pt>
                <c:pt idx="2">
                  <c:v>902.25</c:v>
                </c:pt>
                <c:pt idx="3">
                  <c:v>966.95</c:v>
                </c:pt>
                <c:pt idx="4">
                  <c:v>966.95</c:v>
                </c:pt>
                <c:pt idx="5">
                  <c:v>966.95</c:v>
                </c:pt>
                <c:pt idx="6">
                  <c:v>1240.8</c:v>
                </c:pt>
                <c:pt idx="7">
                  <c:v>1240.8</c:v>
                </c:pt>
                <c:pt idx="8">
                  <c:v>1240.8</c:v>
                </c:pt>
                <c:pt idx="9">
                  <c:v>1365.61</c:v>
                </c:pt>
                <c:pt idx="10">
                  <c:v>2468.0830860534124</c:v>
                </c:pt>
                <c:pt idx="11">
                  <c:v>3015.0267062314538</c:v>
                </c:pt>
                <c:pt idx="12">
                  <c:v>1775.92</c:v>
                </c:pt>
                <c:pt idx="13">
                  <c:v>1775.92</c:v>
                </c:pt>
                <c:pt idx="14">
                  <c:v>5107.845697329377</c:v>
                </c:pt>
              </c:numCache>
            </c:numRef>
          </c:xVal>
          <c:yVal>
            <c:numRef>
              <c:f>('Spec Analysis_ScreenSize'!$M$123,'Spec Analysis_ScreenSize'!$M$127:$M$131,'Spec Analysis_ScreenSize'!$M$133:$M$137,'Spec Analysis_ScreenSize'!$M$139:$M$142)</c:f>
              <c:numCache>
                <c:ptCount val="15"/>
                <c:pt idx="0">
                  <c:v>178.35816052695782</c:v>
                </c:pt>
                <c:pt idx="1">
                  <c:v>202.8669299457447</c:v>
                </c:pt>
                <c:pt idx="2">
                  <c:v>185.10096920419937</c:v>
                </c:pt>
                <c:pt idx="3">
                  <c:v>215.42871890958523</c:v>
                </c:pt>
                <c:pt idx="4">
                  <c:v>210.32690400088174</c:v>
                </c:pt>
                <c:pt idx="5">
                  <c:v>214.33091590433153</c:v>
                </c:pt>
                <c:pt idx="6">
                  <c:v>280.4863196975141</c:v>
                </c:pt>
                <c:pt idx="7">
                  <c:v>272.2876781467604</c:v>
                </c:pt>
                <c:pt idx="8">
                  <c:v>275.40913103731464</c:v>
                </c:pt>
                <c:pt idx="9">
                  <c:v>273.9874577113701</c:v>
                </c:pt>
                <c:pt idx="10">
                  <c:v>339.5238609251212</c:v>
                </c:pt>
                <c:pt idx="11">
                  <c:v>667</c:v>
                </c:pt>
                <c:pt idx="12">
                  <c:v>399.04284438197453</c:v>
                </c:pt>
                <c:pt idx="13">
                  <c:v>382.8152356927436</c:v>
                </c:pt>
                <c:pt idx="14">
                  <c:v>582.4356435643565</c:v>
                </c:pt>
              </c:numCache>
            </c:numRef>
          </c:yVal>
          <c:smooth val="0"/>
        </c:ser>
        <c:ser>
          <c:idx val="4"/>
          <c:order val="3"/>
          <c:tx>
            <c:v>ENERGY STAR, 2.1 MP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Charts'!$K$48:$K$57</c:f>
              <c:numCache>
                <c:ptCount val="10"/>
                <c:pt idx="0">
                  <c:v>0</c:v>
                </c:pt>
                <c:pt idx="1">
                  <c:v>200</c:v>
                </c:pt>
                <c:pt idx="2">
                  <c:v>350</c:v>
                </c:pt>
                <c:pt idx="3">
                  <c:v>500</c:v>
                </c:pt>
                <c:pt idx="4">
                  <c:v>1000</c:v>
                </c:pt>
                <c:pt idx="5">
                  <c:v>2000</c:v>
                </c:pt>
                <c:pt idx="6">
                  <c:v>3000</c:v>
                </c:pt>
                <c:pt idx="7">
                  <c:v>4000</c:v>
                </c:pt>
                <c:pt idx="8">
                  <c:v>5000</c:v>
                </c:pt>
                <c:pt idx="9">
                  <c:v>6000</c:v>
                </c:pt>
              </c:numCache>
            </c:numRef>
          </c:xVal>
          <c:yVal>
            <c:numRef>
              <c:f>'Power Charts'!$P$48:$P$57</c:f>
              <c:numCache>
                <c:ptCount val="10"/>
                <c:pt idx="0">
                  <c:v>74</c:v>
                </c:pt>
                <c:pt idx="1">
                  <c:v>98</c:v>
                </c:pt>
                <c:pt idx="2">
                  <c:v>116</c:v>
                </c:pt>
                <c:pt idx="3">
                  <c:v>134</c:v>
                </c:pt>
                <c:pt idx="4">
                  <c:v>194</c:v>
                </c:pt>
                <c:pt idx="5">
                  <c:v>314</c:v>
                </c:pt>
                <c:pt idx="6">
                  <c:v>434</c:v>
                </c:pt>
                <c:pt idx="7">
                  <c:v>554</c:v>
                </c:pt>
                <c:pt idx="8">
                  <c:v>674</c:v>
                </c:pt>
                <c:pt idx="9">
                  <c:v>794</c:v>
                </c:pt>
              </c:numCache>
            </c:numRef>
          </c:yVal>
          <c:smooth val="0"/>
        </c:ser>
        <c:axId val="26622108"/>
        <c:axId val="38272381"/>
      </c:scatterChart>
      <c:valAx>
        <c:axId val="26622108"/>
        <c:scaling>
          <c:orientation val="minMax"/>
          <c:max val="6000"/>
          <c:min val="0"/>
        </c:scaling>
        <c:axPos val="b"/>
        <c:title>
          <c:tx>
            <c:rich>
              <a:bodyPr vert="horz" rot="0" anchor="ctr"/>
              <a:lstStyle/>
              <a:p>
                <a:pPr algn="ctr">
                  <a:defRPr/>
                </a:pPr>
                <a:r>
                  <a:rPr lang="en-US" cap="none" sz="800" b="0" i="0" u="none" baseline="0">
                    <a:latin typeface="Arial"/>
                    <a:ea typeface="Arial"/>
                    <a:cs typeface="Arial"/>
                  </a:rPr>
                  <a:t>Screen Area (in2)</a:t>
                </a:r>
              </a:p>
            </c:rich>
          </c:tx>
          <c:layout>
            <c:manualLayout>
              <c:xMode val="factor"/>
              <c:yMode val="factor"/>
              <c:x val="0.00425"/>
              <c:y val="0"/>
            </c:manualLayout>
          </c:layout>
          <c:overlay val="0"/>
          <c:spPr>
            <a:noFill/>
            <a:ln>
              <a:noFill/>
            </a:ln>
          </c:spPr>
        </c:title>
        <c:delete val="0"/>
        <c:numFmt formatCode="0" sourceLinked="0"/>
        <c:majorTickMark val="out"/>
        <c:minorTickMark val="none"/>
        <c:tickLblPos val="nextTo"/>
        <c:crossAx val="38272381"/>
        <c:crosses val="autoZero"/>
        <c:crossBetween val="midCat"/>
        <c:dispUnits/>
        <c:majorUnit val="1000"/>
        <c:minorUnit val="12"/>
      </c:valAx>
      <c:valAx>
        <c:axId val="38272381"/>
        <c:scaling>
          <c:orientation val="minMax"/>
          <c:max val="800"/>
          <c:min val="0"/>
        </c:scaling>
        <c:axPos val="l"/>
        <c:title>
          <c:tx>
            <c:rich>
              <a:bodyPr vert="horz" rot="-5400000" anchor="ctr"/>
              <a:lstStyle/>
              <a:p>
                <a:pPr algn="ctr">
                  <a:defRPr/>
                </a:pPr>
                <a:r>
                  <a:rPr lang="en-US"/>
                  <a:t>On Power (W)</a:t>
                </a:r>
              </a:p>
            </c:rich>
          </c:tx>
          <c:layout/>
          <c:overlay val="0"/>
          <c:spPr>
            <a:noFill/>
            <a:ln>
              <a:noFill/>
            </a:ln>
          </c:spPr>
        </c:title>
        <c:majorGridlines/>
        <c:delete val="0"/>
        <c:numFmt formatCode="0" sourceLinked="0"/>
        <c:majorTickMark val="out"/>
        <c:minorTickMark val="none"/>
        <c:tickLblPos val="nextTo"/>
        <c:crossAx val="26622108"/>
        <c:crosses val="autoZero"/>
        <c:crossBetween val="midCat"/>
        <c:dispUnits/>
        <c:majorUnit val="386"/>
        <c:minorUnit val="77"/>
      </c:valAx>
      <c:spPr>
        <a:noFill/>
        <a:ln>
          <a:noFill/>
        </a:ln>
      </c:spPr>
    </c:plotArea>
    <c:legend>
      <c:legendPos val="b"/>
      <c:layout>
        <c:manualLayout>
          <c:xMode val="edge"/>
          <c:yMode val="edge"/>
          <c:x val="0.047"/>
          <c:y val="0.7715"/>
          <c:w val="0.503"/>
          <c:h val="0.168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485"/>
          <c:w val="0.9095"/>
          <c:h val="0.67725"/>
        </c:manualLayout>
      </c:layout>
      <c:scatterChart>
        <c:scatterStyle val="lineMarker"/>
        <c:varyColors val="0"/>
        <c:ser>
          <c:idx val="1"/>
          <c:order val="0"/>
          <c:tx>
            <c:v>0.1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xVal>
            <c:numRef>
              <c:f>'Spec Analysis_ScreenSize'!$G$3:$G$5</c:f>
              <c:numCache>
                <c:ptCount val="3"/>
                <c:pt idx="0">
                  <c:v>20.394940789881577</c:v>
                </c:pt>
                <c:pt idx="1">
                  <c:v>21.005642011284024</c:v>
                </c:pt>
                <c:pt idx="2">
                  <c:v>19.92063984127968</c:v>
                </c:pt>
              </c:numCache>
            </c:numRef>
          </c:xVal>
          <c:yVal>
            <c:numRef>
              <c:f>'Spec Analysis_ScreenSize'!$M$3:$M$5</c:f>
              <c:numCache>
                <c:ptCount val="3"/>
                <c:pt idx="0">
                  <c:v>4.38</c:v>
                </c:pt>
                <c:pt idx="1">
                  <c:v>5.6</c:v>
                </c:pt>
                <c:pt idx="2">
                  <c:v>6.43</c:v>
                </c:pt>
              </c:numCache>
            </c:numRef>
          </c:yVal>
          <c:smooth val="0"/>
        </c:ser>
        <c:ser>
          <c:idx val="7"/>
          <c:order val="1"/>
          <c:tx>
            <c:v>0.35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('Spec Analysis_ScreenSize'!$G$2,'Spec Analysis_ScreenSize'!$G$6:$G$8)</c:f>
              <c:numCache>
                <c:ptCount val="4"/>
                <c:pt idx="0">
                  <c:v>18.761237522475042</c:v>
                </c:pt>
                <c:pt idx="1">
                  <c:v>20.9250418500837</c:v>
                </c:pt>
                <c:pt idx="2">
                  <c:v>37.22255192878338</c:v>
                </c:pt>
                <c:pt idx="3">
                  <c:v>22.292144584289165</c:v>
                </c:pt>
              </c:numCache>
            </c:numRef>
          </c:xVal>
          <c:yVal>
            <c:numRef>
              <c:f>('Spec Analysis_ScreenSize'!$M$2,'Spec Analysis_ScreenSize'!$M$6:$M$8)</c:f>
              <c:numCache>
                <c:ptCount val="4"/>
                <c:pt idx="0">
                  <c:v>8.3</c:v>
                </c:pt>
                <c:pt idx="1">
                  <c:v>6.491637326454329</c:v>
                </c:pt>
                <c:pt idx="2">
                  <c:v>10.9</c:v>
                </c:pt>
                <c:pt idx="3">
                  <c:v>8.46</c:v>
                </c:pt>
              </c:numCache>
            </c:numRef>
          </c:yVal>
          <c:smooth val="0"/>
        </c:ser>
        <c:ser>
          <c:idx val="8"/>
          <c:order val="2"/>
          <c:tx>
            <c:v>0.48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'Spec Analysis_ScreenSize'!$G$9:$G$10</c:f>
              <c:numCache>
                <c:ptCount val="2"/>
                <c:pt idx="0">
                  <c:v>48.61721068249258</c:v>
                </c:pt>
                <c:pt idx="1">
                  <c:v>48.61721068249258</c:v>
                </c:pt>
              </c:numCache>
            </c:numRef>
          </c:xVal>
          <c:yVal>
            <c:numRef>
              <c:f>'Spec Analysis_ScreenSize'!$M$9:$M$10</c:f>
              <c:numCache>
                <c:ptCount val="2"/>
                <c:pt idx="0">
                  <c:v>7.5</c:v>
                </c:pt>
                <c:pt idx="1">
                  <c:v>8.6</c:v>
                </c:pt>
              </c:numCache>
            </c:numRef>
          </c:yVal>
          <c:smooth val="0"/>
        </c:ser>
        <c:ser>
          <c:idx val="9"/>
          <c:order val="3"/>
          <c:tx>
            <c:v>0.78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99FF"/>
              </a:solidFill>
              <a:ln>
                <a:solidFill>
                  <a:srgbClr val="CC99FF"/>
                </a:solidFill>
              </a:ln>
            </c:spPr>
          </c:marker>
          <c:xVal>
            <c:numRef>
              <c:f>'Spec Analysis_ScreenSize'!$G$11:$G$18</c:f>
              <c:numCache>
                <c:ptCount val="8"/>
                <c:pt idx="0">
                  <c:v>108</c:v>
                </c:pt>
                <c:pt idx="1">
                  <c:v>105.91</c:v>
                </c:pt>
                <c:pt idx="2">
                  <c:v>107.524304495009</c:v>
                </c:pt>
                <c:pt idx="3">
                  <c:v>107.524304495009</c:v>
                </c:pt>
                <c:pt idx="4">
                  <c:v>107.524304495009</c:v>
                </c:pt>
                <c:pt idx="5">
                  <c:v>107.51157671275344</c:v>
                </c:pt>
                <c:pt idx="6">
                  <c:v>128.2902690805382</c:v>
                </c:pt>
                <c:pt idx="7">
                  <c:v>107.524304495009</c:v>
                </c:pt>
              </c:numCache>
            </c:numRef>
          </c:xVal>
          <c:yVal>
            <c:numRef>
              <c:f>'Spec Analysis_ScreenSize'!$M$11:$M$18</c:f>
              <c:numCache>
                <c:ptCount val="8"/>
                <c:pt idx="0">
                  <c:v>17.598000000000003</c:v>
                </c:pt>
                <c:pt idx="1">
                  <c:v>16.1</c:v>
                </c:pt>
                <c:pt idx="2">
                  <c:v>15.7</c:v>
                </c:pt>
                <c:pt idx="3">
                  <c:v>17.9</c:v>
                </c:pt>
                <c:pt idx="4">
                  <c:v>14.600000000000001</c:v>
                </c:pt>
                <c:pt idx="5">
                  <c:v>15.7</c:v>
                </c:pt>
                <c:pt idx="6">
                  <c:v>14.2</c:v>
                </c:pt>
                <c:pt idx="7">
                  <c:v>15.9</c:v>
                </c:pt>
              </c:numCache>
            </c:numRef>
          </c:yVal>
          <c:smooth val="0"/>
        </c:ser>
        <c:ser>
          <c:idx val="10"/>
          <c:order val="4"/>
          <c:tx>
            <c:v>0.92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('Spec Analysis_ScreenSize'!$G$19,'Spec Analysis_ScreenSize'!$G$23)</c:f>
              <c:numCache>
                <c:ptCount val="2"/>
                <c:pt idx="0">
                  <c:v>196.2104790924961</c:v>
                </c:pt>
                <c:pt idx="1">
                  <c:v>120</c:v>
                </c:pt>
              </c:numCache>
            </c:numRef>
          </c:xVal>
          <c:yVal>
            <c:numRef>
              <c:f>('Spec Analysis_ScreenSize'!$M$19,'Spec Analysis_ScreenSize'!$M$23)</c:f>
              <c:numCache>
                <c:ptCount val="2"/>
                <c:pt idx="0">
                  <c:v>15.48</c:v>
                </c:pt>
                <c:pt idx="1">
                  <c:v>19.782000000000004</c:v>
                </c:pt>
              </c:numCache>
            </c:numRef>
          </c:yVal>
          <c:smooth val="0"/>
        </c:ser>
        <c:ser>
          <c:idx val="2"/>
          <c:order val="5"/>
          <c:tx>
            <c:v>ENERGY STAR, 0.1 MP</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Charts'!$K$4:$K$9</c:f>
              <c:numCache>
                <c:ptCount val="6"/>
                <c:pt idx="0">
                  <c:v>0</c:v>
                </c:pt>
                <c:pt idx="1">
                  <c:v>50</c:v>
                </c:pt>
                <c:pt idx="2">
                  <c:v>100</c:v>
                </c:pt>
                <c:pt idx="3">
                  <c:v>150</c:v>
                </c:pt>
                <c:pt idx="4">
                  <c:v>200</c:v>
                </c:pt>
              </c:numCache>
            </c:numRef>
          </c:xVal>
          <c:yVal>
            <c:numRef>
              <c:f>'Power Charts'!$N$4:$N$9</c:f>
              <c:numCache>
                <c:ptCount val="6"/>
                <c:pt idx="0">
                  <c:v>3.66</c:v>
                </c:pt>
                <c:pt idx="1">
                  <c:v>6.16</c:v>
                </c:pt>
                <c:pt idx="2">
                  <c:v>8.66</c:v>
                </c:pt>
                <c:pt idx="3">
                  <c:v>11.16</c:v>
                </c:pt>
                <c:pt idx="4">
                  <c:v>13.66</c:v>
                </c:pt>
              </c:numCache>
            </c:numRef>
          </c:yVal>
          <c:smooth val="0"/>
        </c:ser>
        <c:ser>
          <c:idx val="4"/>
          <c:order val="6"/>
          <c:tx>
            <c:v>ENERGY STAR, 0.35 MP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50</c:v>
                </c:pt>
                <c:pt idx="2">
                  <c:v>100</c:v>
                </c:pt>
                <c:pt idx="3">
                  <c:v>150</c:v>
                </c:pt>
                <c:pt idx="4">
                  <c:v>200</c:v>
                </c:pt>
              </c:numCache>
            </c:numRef>
          </c:xVal>
          <c:yVal>
            <c:numRef>
              <c:f>'Power Charts'!$P$4:$P$8</c:f>
              <c:numCache>
                <c:ptCount val="5"/>
                <c:pt idx="0">
                  <c:v>5.1</c:v>
                </c:pt>
                <c:pt idx="1">
                  <c:v>7.6</c:v>
                </c:pt>
                <c:pt idx="2">
                  <c:v>10.1</c:v>
                </c:pt>
                <c:pt idx="3">
                  <c:v>12.6</c:v>
                </c:pt>
                <c:pt idx="4">
                  <c:v>15.1</c:v>
                </c:pt>
              </c:numCache>
            </c:numRef>
          </c:yVal>
          <c:smooth val="0"/>
        </c:ser>
        <c:ser>
          <c:idx val="0"/>
          <c:order val="7"/>
          <c:tx>
            <c:v>ENERGY STAR, 0.48 MP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50</c:v>
                </c:pt>
                <c:pt idx="2">
                  <c:v>100</c:v>
                </c:pt>
                <c:pt idx="3">
                  <c:v>150</c:v>
                </c:pt>
                <c:pt idx="4">
                  <c:v>200</c:v>
                </c:pt>
              </c:numCache>
            </c:numRef>
          </c:xVal>
          <c:yVal>
            <c:numRef>
              <c:f>'Power Charts'!$R$4:$R$8</c:f>
              <c:numCache>
                <c:ptCount val="5"/>
                <c:pt idx="0">
                  <c:v>5.88</c:v>
                </c:pt>
                <c:pt idx="1">
                  <c:v>8.379999999999999</c:v>
                </c:pt>
                <c:pt idx="2">
                  <c:v>10.879999999999999</c:v>
                </c:pt>
                <c:pt idx="3">
                  <c:v>13.379999999999999</c:v>
                </c:pt>
                <c:pt idx="4">
                  <c:v>15.879999999999999</c:v>
                </c:pt>
              </c:numCache>
            </c:numRef>
          </c:yVal>
          <c:smooth val="0"/>
        </c:ser>
        <c:ser>
          <c:idx val="5"/>
          <c:order val="8"/>
          <c:tx>
            <c:v>ENERGY STAR, 0.78 MP</c:v>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50</c:v>
                </c:pt>
                <c:pt idx="2">
                  <c:v>100</c:v>
                </c:pt>
                <c:pt idx="3">
                  <c:v>150</c:v>
                </c:pt>
                <c:pt idx="4">
                  <c:v>200</c:v>
                </c:pt>
              </c:numCache>
            </c:numRef>
          </c:xVal>
          <c:yVal>
            <c:numRef>
              <c:f>'Power Charts'!$T$4:$T$8</c:f>
              <c:numCache>
                <c:ptCount val="5"/>
                <c:pt idx="0">
                  <c:v>7.68</c:v>
                </c:pt>
                <c:pt idx="1">
                  <c:v>10.18</c:v>
                </c:pt>
                <c:pt idx="2">
                  <c:v>12.68</c:v>
                </c:pt>
                <c:pt idx="3">
                  <c:v>15.18</c:v>
                </c:pt>
                <c:pt idx="4">
                  <c:v>17.68</c:v>
                </c:pt>
              </c:numCache>
            </c:numRef>
          </c:yVal>
          <c:smooth val="0"/>
        </c:ser>
        <c:ser>
          <c:idx val="6"/>
          <c:order val="9"/>
          <c:tx>
            <c:v>ENERGY STAR, 0.92 MP</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50</c:v>
                </c:pt>
                <c:pt idx="2">
                  <c:v>100</c:v>
                </c:pt>
                <c:pt idx="3">
                  <c:v>150</c:v>
                </c:pt>
                <c:pt idx="4">
                  <c:v>200</c:v>
                </c:pt>
              </c:numCache>
            </c:numRef>
          </c:xVal>
          <c:yVal>
            <c:numRef>
              <c:f>'Power Charts'!$V$4:$V$8</c:f>
              <c:numCache>
                <c:ptCount val="5"/>
                <c:pt idx="0">
                  <c:v>8.52</c:v>
                </c:pt>
                <c:pt idx="1">
                  <c:v>11.02</c:v>
                </c:pt>
                <c:pt idx="2">
                  <c:v>13.52</c:v>
                </c:pt>
                <c:pt idx="3">
                  <c:v>16.02</c:v>
                </c:pt>
                <c:pt idx="4">
                  <c:v>18.52</c:v>
                </c:pt>
              </c:numCache>
            </c:numRef>
          </c:yVal>
          <c:smooth val="0"/>
        </c:ser>
        <c:ser>
          <c:idx val="3"/>
          <c:order val="10"/>
          <c:tx>
            <c:v>1-1.1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xVal>
            <c:numRef>
              <c:f>'Spec Analysis_ScreenSize'!$G$20:$G$22</c:f>
              <c:numCache>
                <c:ptCount val="3"/>
                <c:pt idx="0">
                  <c:v>110.5</c:v>
                </c:pt>
                <c:pt idx="1">
                  <c:v>106.00161200322403</c:v>
                </c:pt>
                <c:pt idx="2">
                  <c:v>106.00161200322403</c:v>
                </c:pt>
              </c:numCache>
            </c:numRef>
          </c:xVal>
          <c:yVal>
            <c:numRef>
              <c:f>'Spec Analysis_ScreenSize'!$M$20:$M$22</c:f>
              <c:numCache>
                <c:ptCount val="3"/>
                <c:pt idx="0">
                  <c:v>12.6</c:v>
                </c:pt>
                <c:pt idx="1">
                  <c:v>13.6</c:v>
                </c:pt>
                <c:pt idx="2">
                  <c:v>12.260000000000002</c:v>
                </c:pt>
              </c:numCache>
            </c:numRef>
          </c:yVal>
          <c:smooth val="0"/>
        </c:ser>
        <c:ser>
          <c:idx val="11"/>
          <c:order val="11"/>
          <c:tx>
            <c:v>ENERGY STAR, 1.1 MP</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50</c:v>
                </c:pt>
                <c:pt idx="2">
                  <c:v>100</c:v>
                </c:pt>
                <c:pt idx="3">
                  <c:v>150</c:v>
                </c:pt>
                <c:pt idx="4">
                  <c:v>200</c:v>
                </c:pt>
              </c:numCache>
            </c:numRef>
          </c:xVal>
          <c:yVal>
            <c:numRef>
              <c:f>'Power Charts'!$X$4:$X$8</c:f>
              <c:numCache>
                <c:ptCount val="5"/>
                <c:pt idx="0">
                  <c:v>8.52</c:v>
                </c:pt>
                <c:pt idx="1">
                  <c:v>11.02</c:v>
                </c:pt>
                <c:pt idx="2">
                  <c:v>13.52</c:v>
                </c:pt>
                <c:pt idx="3">
                  <c:v>16.02</c:v>
                </c:pt>
                <c:pt idx="4">
                  <c:v>18.52</c:v>
                </c:pt>
              </c:numCache>
            </c:numRef>
          </c:yVal>
          <c:smooth val="0"/>
        </c:ser>
        <c:axId val="8907110"/>
        <c:axId val="13055127"/>
      </c:scatterChart>
      <c:valAx>
        <c:axId val="8907110"/>
        <c:scaling>
          <c:orientation val="minMax"/>
          <c:max val="200"/>
        </c:scaling>
        <c:axPos val="b"/>
        <c:title>
          <c:tx>
            <c:rich>
              <a:bodyPr vert="horz" rot="0" anchor="ctr"/>
              <a:lstStyle/>
              <a:p>
                <a:pPr algn="ctr">
                  <a:defRPr/>
                </a:pPr>
                <a:r>
                  <a:rPr lang="en-US" cap="none" sz="800" b="0" i="0" u="none" baseline="0">
                    <a:latin typeface="Arial"/>
                    <a:ea typeface="Arial"/>
                    <a:cs typeface="Arial"/>
                  </a:rPr>
                  <a:t>Screen Area (in2)</a:t>
                </a:r>
              </a:p>
            </c:rich>
          </c:tx>
          <c:layout>
            <c:manualLayout>
              <c:xMode val="factor"/>
              <c:yMode val="factor"/>
              <c:x val="0.00725"/>
              <c:y val="0"/>
            </c:manualLayout>
          </c:layout>
          <c:overlay val="0"/>
          <c:spPr>
            <a:noFill/>
            <a:ln>
              <a:noFill/>
            </a:ln>
          </c:spPr>
        </c:title>
        <c:delete val="0"/>
        <c:numFmt formatCode="0" sourceLinked="0"/>
        <c:majorTickMark val="out"/>
        <c:minorTickMark val="none"/>
        <c:tickLblPos val="nextTo"/>
        <c:crossAx val="13055127"/>
        <c:crosses val="autoZero"/>
        <c:crossBetween val="midCat"/>
        <c:dispUnits/>
        <c:majorUnit val="50"/>
      </c:valAx>
      <c:valAx>
        <c:axId val="13055127"/>
        <c:scaling>
          <c:orientation val="minMax"/>
          <c:max val="25"/>
        </c:scaling>
        <c:axPos val="l"/>
        <c:title>
          <c:tx>
            <c:rich>
              <a:bodyPr vert="horz" rot="-5400000" anchor="ctr"/>
              <a:lstStyle/>
              <a:p>
                <a:pPr algn="ctr">
                  <a:defRPr/>
                </a:pPr>
                <a:r>
                  <a:rPr lang="en-US" cap="none" sz="800" b="0" i="0" u="none" baseline="0">
                    <a:latin typeface="Arial"/>
                    <a:ea typeface="Arial"/>
                    <a:cs typeface="Arial"/>
                  </a:rPr>
                  <a:t>On Power (W)</a:t>
                </a:r>
              </a:p>
            </c:rich>
          </c:tx>
          <c:layout/>
          <c:overlay val="0"/>
          <c:spPr>
            <a:noFill/>
            <a:ln>
              <a:noFill/>
            </a:ln>
          </c:spPr>
        </c:title>
        <c:majorGridlines/>
        <c:delete val="0"/>
        <c:numFmt formatCode="0" sourceLinked="0"/>
        <c:majorTickMark val="out"/>
        <c:minorTickMark val="none"/>
        <c:tickLblPos val="nextTo"/>
        <c:crossAx val="8907110"/>
        <c:crosses val="autoZero"/>
        <c:crossBetween val="midCat"/>
        <c:dispUnits/>
        <c:majorUnit val="5"/>
      </c:valAx>
      <c:spPr>
        <a:noFill/>
        <a:ln>
          <a:noFill/>
        </a:ln>
      </c:spPr>
    </c:plotArea>
    <c:legend>
      <c:legendPos val="b"/>
      <c:layout>
        <c:manualLayout>
          <c:xMode val="edge"/>
          <c:yMode val="edge"/>
          <c:x val="0.049"/>
          <c:y val="0.77425"/>
          <c:w val="0.89825"/>
          <c:h val="0.18"/>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Luminance at Prescribed levels 
</a:t>
            </a:r>
            <a:r>
              <a:rPr lang="en-US" cap="none" sz="1000" b="1" i="0" u="none" baseline="0">
                <a:latin typeface="Arial"/>
                <a:ea typeface="Arial"/>
                <a:cs typeface="Arial"/>
              </a:rPr>
              <a:t>175 cd/m2 for models &lt; 30 " and &lt; 1.1 MP</a:t>
            </a:r>
            <a:r>
              <a:rPr lang="en-US" cap="none" sz="1600" b="1" i="0" u="none" baseline="0">
                <a:latin typeface="Arial"/>
                <a:ea typeface="Arial"/>
                <a:cs typeface="Arial"/>
              </a:rPr>
              <a:t>
</a:t>
            </a:r>
            <a:r>
              <a:rPr lang="en-US" cap="none" sz="1000" b="1" i="0" u="none" baseline="0">
                <a:latin typeface="Arial"/>
                <a:ea typeface="Arial"/>
                <a:cs typeface="Arial"/>
              </a:rPr>
              <a:t>200 cd/m2 for models &lt; 30 " and &gt;= 1.1 MP
350 cd/m2 for models &gt; = 30"</a:t>
            </a:r>
          </a:p>
        </c:rich>
      </c:tx>
      <c:layout/>
      <c:spPr>
        <a:noFill/>
        <a:ln>
          <a:noFill/>
        </a:ln>
      </c:spPr>
    </c:title>
    <c:plotArea>
      <c:layout/>
      <c:scatterChart>
        <c:scatterStyle val="lineMarker"/>
        <c:varyColors val="0"/>
        <c:ser>
          <c:idx val="0"/>
          <c:order val="0"/>
          <c:tx>
            <c:v>Data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'Power Charts'!$B$99:$B$239</c:f>
              <c:numCache>
                <c:ptCount val="141"/>
                <c:pt idx="0">
                  <c:v>6.5</c:v>
                </c:pt>
                <c:pt idx="1">
                  <c:v>7</c:v>
                </c:pt>
                <c:pt idx="2">
                  <c:v>7</c:v>
                </c:pt>
                <c:pt idx="3">
                  <c:v>7</c:v>
                </c:pt>
                <c:pt idx="4">
                  <c:v>7</c:v>
                </c:pt>
                <c:pt idx="5">
                  <c:v>7</c:v>
                </c:pt>
                <c:pt idx="6">
                  <c:v>7</c:v>
                </c:pt>
                <c:pt idx="7">
                  <c:v>8</c:v>
                </c:pt>
                <c:pt idx="8">
                  <c:v>8</c:v>
                </c:pt>
                <c:pt idx="9">
                  <c:v>15</c:v>
                </c:pt>
                <c:pt idx="10">
                  <c:v>15</c:v>
                </c:pt>
                <c:pt idx="11">
                  <c:v>15</c:v>
                </c:pt>
                <c:pt idx="12">
                  <c:v>15</c:v>
                </c:pt>
                <c:pt idx="13">
                  <c:v>15</c:v>
                </c:pt>
                <c:pt idx="14">
                  <c:v>15</c:v>
                </c:pt>
                <c:pt idx="15">
                  <c:v>15</c:v>
                </c:pt>
                <c:pt idx="16">
                  <c:v>15</c:v>
                </c:pt>
                <c:pt idx="17">
                  <c:v>15.00405277260778</c:v>
                </c:pt>
                <c:pt idx="18">
                  <c:v>15.4</c:v>
                </c:pt>
                <c:pt idx="19">
                  <c:v>15.6</c:v>
                </c:pt>
                <c:pt idx="20">
                  <c:v>15.6</c:v>
                </c:pt>
                <c:pt idx="21">
                  <c:v>17</c:v>
                </c:pt>
                <c:pt idx="22">
                  <c:v>17</c:v>
                </c:pt>
                <c:pt idx="23">
                  <c:v>17</c:v>
                </c:pt>
                <c:pt idx="24">
                  <c:v>17</c:v>
                </c:pt>
                <c:pt idx="25">
                  <c:v>17</c:v>
                </c:pt>
                <c:pt idx="26">
                  <c:v>17</c:v>
                </c:pt>
                <c:pt idx="27">
                  <c:v>17</c:v>
                </c:pt>
                <c:pt idx="28">
                  <c:v>17</c:v>
                </c:pt>
                <c:pt idx="29">
                  <c:v>17</c:v>
                </c:pt>
                <c:pt idx="30">
                  <c:v>17</c:v>
                </c:pt>
                <c:pt idx="31">
                  <c:v>17</c:v>
                </c:pt>
                <c:pt idx="32">
                  <c:v>17</c:v>
                </c:pt>
                <c:pt idx="33">
                  <c:v>17</c:v>
                </c:pt>
                <c:pt idx="34">
                  <c:v>17</c:v>
                </c:pt>
                <c:pt idx="35">
                  <c:v>17</c:v>
                </c:pt>
                <c:pt idx="36">
                  <c:v>17</c:v>
                </c:pt>
                <c:pt idx="37">
                  <c:v>17</c:v>
                </c:pt>
                <c:pt idx="38">
                  <c:v>17</c:v>
                </c:pt>
                <c:pt idx="39">
                  <c:v>17</c:v>
                </c:pt>
                <c:pt idx="40">
                  <c:v>17</c:v>
                </c:pt>
                <c:pt idx="41">
                  <c:v>17</c:v>
                </c:pt>
                <c:pt idx="42">
                  <c:v>17.037352301679594</c:v>
                </c:pt>
                <c:pt idx="43">
                  <c:v>17.037352301679594</c:v>
                </c:pt>
                <c:pt idx="44">
                  <c:v>19</c:v>
                </c:pt>
                <c:pt idx="45">
                  <c:v>19</c:v>
                </c:pt>
                <c:pt idx="46">
                  <c:v>19</c:v>
                </c:pt>
                <c:pt idx="47">
                  <c:v>19</c:v>
                </c:pt>
                <c:pt idx="48">
                  <c:v>19</c:v>
                </c:pt>
                <c:pt idx="49">
                  <c:v>19</c:v>
                </c:pt>
                <c:pt idx="50">
                  <c:v>19</c:v>
                </c:pt>
                <c:pt idx="51">
                  <c:v>19</c:v>
                </c:pt>
                <c:pt idx="52">
                  <c:v>19</c:v>
                </c:pt>
                <c:pt idx="53">
                  <c:v>19</c:v>
                </c:pt>
                <c:pt idx="54">
                  <c:v>19</c:v>
                </c:pt>
                <c:pt idx="55">
                  <c:v>19</c:v>
                </c:pt>
                <c:pt idx="56">
                  <c:v>19</c:v>
                </c:pt>
                <c:pt idx="57">
                  <c:v>19</c:v>
                </c:pt>
                <c:pt idx="58">
                  <c:v>19</c:v>
                </c:pt>
                <c:pt idx="59">
                  <c:v>19</c:v>
                </c:pt>
                <c:pt idx="60">
                  <c:v>19</c:v>
                </c:pt>
                <c:pt idx="61">
                  <c:v>19</c:v>
                </c:pt>
                <c:pt idx="62">
                  <c:v>19</c:v>
                </c:pt>
                <c:pt idx="63">
                  <c:v>19</c:v>
                </c:pt>
                <c:pt idx="64">
                  <c:v>19</c:v>
                </c:pt>
                <c:pt idx="65">
                  <c:v>19</c:v>
                </c:pt>
                <c:pt idx="66">
                  <c:v>19</c:v>
                </c:pt>
                <c:pt idx="67">
                  <c:v>19.05</c:v>
                </c:pt>
                <c:pt idx="68">
                  <c:v>19.05</c:v>
                </c:pt>
                <c:pt idx="69">
                  <c:v>20</c:v>
                </c:pt>
                <c:pt idx="70">
                  <c:v>20</c:v>
                </c:pt>
                <c:pt idx="71">
                  <c:v>20</c:v>
                </c:pt>
                <c:pt idx="72">
                  <c:v>20</c:v>
                </c:pt>
                <c:pt idx="73">
                  <c:v>20.1</c:v>
                </c:pt>
                <c:pt idx="74">
                  <c:v>20.1</c:v>
                </c:pt>
                <c:pt idx="75">
                  <c:v>20.1</c:v>
                </c:pt>
                <c:pt idx="76">
                  <c:v>20.1</c:v>
                </c:pt>
                <c:pt idx="77">
                  <c:v>20.1</c:v>
                </c:pt>
                <c:pt idx="78">
                  <c:v>20.1</c:v>
                </c:pt>
                <c:pt idx="79">
                  <c:v>20.1</c:v>
                </c:pt>
                <c:pt idx="80">
                  <c:v>20.12335030452074</c:v>
                </c:pt>
                <c:pt idx="81">
                  <c:v>21.99528986773197</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22.112286090432676</c:v>
                </c:pt>
                <c:pt idx="100">
                  <c:v>22.112286090432676</c:v>
                </c:pt>
                <c:pt idx="101">
                  <c:v>24</c:v>
                </c:pt>
                <c:pt idx="102">
                  <c:v>24</c:v>
                </c:pt>
                <c:pt idx="103">
                  <c:v>24</c:v>
                </c:pt>
                <c:pt idx="104">
                  <c:v>24</c:v>
                </c:pt>
                <c:pt idx="105">
                  <c:v>24</c:v>
                </c:pt>
                <c:pt idx="106">
                  <c:v>24</c:v>
                </c:pt>
                <c:pt idx="107">
                  <c:v>24</c:v>
                </c:pt>
                <c:pt idx="108">
                  <c:v>24.06779438414441</c:v>
                </c:pt>
                <c:pt idx="109">
                  <c:v>24.1</c:v>
                </c:pt>
                <c:pt idx="110">
                  <c:v>24.1</c:v>
                </c:pt>
                <c:pt idx="111">
                  <c:v>24.1</c:v>
                </c:pt>
                <c:pt idx="112">
                  <c:v>25.54</c:v>
                </c:pt>
                <c:pt idx="113">
                  <c:v>25.54</c:v>
                </c:pt>
                <c:pt idx="114">
                  <c:v>26</c:v>
                </c:pt>
                <c:pt idx="115">
                  <c:v>26</c:v>
                </c:pt>
                <c:pt idx="116">
                  <c:v>27</c:v>
                </c:pt>
                <c:pt idx="117">
                  <c:v>27</c:v>
                </c:pt>
                <c:pt idx="118">
                  <c:v>31.5</c:v>
                </c:pt>
                <c:pt idx="119">
                  <c:v>32</c:v>
                </c:pt>
                <c:pt idx="120">
                  <c:v>40</c:v>
                </c:pt>
                <c:pt idx="121">
                  <c:v>40</c:v>
                </c:pt>
                <c:pt idx="122">
                  <c:v>42</c:v>
                </c:pt>
                <c:pt idx="123">
                  <c:v>46</c:v>
                </c:pt>
                <c:pt idx="124">
                  <c:v>46</c:v>
                </c:pt>
                <c:pt idx="125">
                  <c:v>46</c:v>
                </c:pt>
                <c:pt idx="126">
                  <c:v>46</c:v>
                </c:pt>
                <c:pt idx="127">
                  <c:v>47.6</c:v>
                </c:pt>
                <c:pt idx="128">
                  <c:v>47.6</c:v>
                </c:pt>
                <c:pt idx="129">
                  <c:v>47.6</c:v>
                </c:pt>
                <c:pt idx="130">
                  <c:v>50</c:v>
                </c:pt>
                <c:pt idx="131">
                  <c:v>53.9</c:v>
                </c:pt>
                <c:pt idx="132">
                  <c:v>53.9</c:v>
                </c:pt>
                <c:pt idx="133">
                  <c:v>53.9</c:v>
                </c:pt>
                <c:pt idx="134">
                  <c:v>57</c:v>
                </c:pt>
                <c:pt idx="135">
                  <c:v>57</c:v>
                </c:pt>
                <c:pt idx="136">
                  <c:v>60</c:v>
                </c:pt>
                <c:pt idx="137">
                  <c:v>63</c:v>
                </c:pt>
                <c:pt idx="138">
                  <c:v>65</c:v>
                </c:pt>
                <c:pt idx="139">
                  <c:v>65</c:v>
                </c:pt>
                <c:pt idx="140">
                  <c:v>82</c:v>
                </c:pt>
              </c:numCache>
            </c:numRef>
          </c:xVal>
          <c:yVal>
            <c:numRef>
              <c:f>'Power Charts'!$C$99:$C$239</c:f>
              <c:numCache>
                <c:ptCount val="141"/>
                <c:pt idx="0">
                  <c:v>0.6391526661796931</c:v>
                </c:pt>
                <c:pt idx="1">
                  <c:v>0.9881422924901186</c:v>
                </c:pt>
                <c:pt idx="2">
                  <c:v>0.85995085995086</c:v>
                </c:pt>
                <c:pt idx="3">
                  <c:v>0.5639703512729616</c:v>
                </c:pt>
                <c:pt idx="4">
                  <c:v>0.43782837127845886</c:v>
                </c:pt>
                <c:pt idx="5">
                  <c:v>0.9943181818181818</c:v>
                </c:pt>
                <c:pt idx="6">
                  <c:v>1.120358514724712</c:v>
                </c:pt>
                <c:pt idx="7">
                  <c:v>0.9722222222222222</c:v>
                </c:pt>
                <c:pt idx="8">
                  <c:v>0.9722222222222222</c:v>
                </c:pt>
                <c:pt idx="9">
                  <c:v>1.1666666666666667</c:v>
                </c:pt>
                <c:pt idx="10">
                  <c:v>0.858684985279686</c:v>
                </c:pt>
                <c:pt idx="11">
                  <c:v>1.3257575757575757</c:v>
                </c:pt>
                <c:pt idx="12">
                  <c:v>1.1904761904761905</c:v>
                </c:pt>
                <c:pt idx="13">
                  <c:v>1.3257575757575757</c:v>
                </c:pt>
                <c:pt idx="14">
                  <c:v>0.9249471458773785</c:v>
                </c:pt>
                <c:pt idx="15">
                  <c:v>0.7163323782234957</c:v>
                </c:pt>
                <c:pt idx="16">
                  <c:v>1.0057471264367817</c:v>
                </c:pt>
                <c:pt idx="17">
                  <c:v>0.982594048287479</c:v>
                </c:pt>
                <c:pt idx="18">
                  <c:v>0.875</c:v>
                </c:pt>
                <c:pt idx="19">
                  <c:v>1.1437908496732025</c:v>
                </c:pt>
                <c:pt idx="20">
                  <c:v>1.1437908496732025</c:v>
                </c:pt>
                <c:pt idx="21">
                  <c:v>1.1437908496732025</c:v>
                </c:pt>
                <c:pt idx="22">
                  <c:v>1.0695187165775402</c:v>
                </c:pt>
                <c:pt idx="23">
                  <c:v>1.0582010582010581</c:v>
                </c:pt>
                <c:pt idx="24">
                  <c:v>0.8888888888888888</c:v>
                </c:pt>
                <c:pt idx="25">
                  <c:v>1.0256410256410255</c:v>
                </c:pt>
                <c:pt idx="26">
                  <c:v>1.3157894736842106</c:v>
                </c:pt>
                <c:pt idx="27">
                  <c:v>1.015228426395939</c:v>
                </c:pt>
                <c:pt idx="28">
                  <c:v>1.342281879194631</c:v>
                </c:pt>
                <c:pt idx="29">
                  <c:v>1.1976047904191616</c:v>
                </c:pt>
                <c:pt idx="30">
                  <c:v>1.3071895424836601</c:v>
                </c:pt>
                <c:pt idx="31">
                  <c:v>1.1428571428571428</c:v>
                </c:pt>
                <c:pt idx="32">
                  <c:v>0.796812749003984</c:v>
                </c:pt>
                <c:pt idx="33">
                  <c:v>0.7874015748031497</c:v>
                </c:pt>
                <c:pt idx="34">
                  <c:v>0.9090909090909091</c:v>
                </c:pt>
                <c:pt idx="35">
                  <c:v>1.0526315789473684</c:v>
                </c:pt>
                <c:pt idx="36">
                  <c:v>0.8130081300813008</c:v>
                </c:pt>
                <c:pt idx="37">
                  <c:v>0.8130081300813008</c:v>
                </c:pt>
                <c:pt idx="38">
                  <c:v>1.160092807424594</c:v>
                </c:pt>
                <c:pt idx="39">
                  <c:v>0.8853474988933157</c:v>
                </c:pt>
                <c:pt idx="40">
                  <c:v>0.7958615200955034</c:v>
                </c:pt>
                <c:pt idx="41">
                  <c:v>1.0940919037199124</c:v>
                </c:pt>
                <c:pt idx="42">
                  <c:v>0.882223202470225</c:v>
                </c:pt>
                <c:pt idx="43">
                  <c:v>0.882223202470225</c:v>
                </c:pt>
                <c:pt idx="44">
                  <c:v>1.098901098901099</c:v>
                </c:pt>
                <c:pt idx="45">
                  <c:v>1.2903225806451613</c:v>
                </c:pt>
                <c:pt idx="46">
                  <c:v>0.9950248756218906</c:v>
                </c:pt>
                <c:pt idx="47">
                  <c:v>1.2269938650306749</c:v>
                </c:pt>
                <c:pt idx="48">
                  <c:v>1.0309278350515463</c:v>
                </c:pt>
                <c:pt idx="49">
                  <c:v>1.1428571428571428</c:v>
                </c:pt>
                <c:pt idx="50">
                  <c:v>1.0582010582010581</c:v>
                </c:pt>
                <c:pt idx="51">
                  <c:v>0.7547169811320755</c:v>
                </c:pt>
                <c:pt idx="52">
                  <c:v>0.5847953216374269</c:v>
                </c:pt>
                <c:pt idx="53">
                  <c:v>1</c:v>
                </c:pt>
                <c:pt idx="54">
                  <c:v>1.1428571428571428</c:v>
                </c:pt>
                <c:pt idx="55">
                  <c:v>1.2269938650306749</c:v>
                </c:pt>
                <c:pt idx="56">
                  <c:v>1.1764705882352942</c:v>
                </c:pt>
                <c:pt idx="57">
                  <c:v>1.2269938650306749</c:v>
                </c:pt>
                <c:pt idx="58">
                  <c:v>1.1764705882352942</c:v>
                </c:pt>
                <c:pt idx="59">
                  <c:v>1.0582010582010581</c:v>
                </c:pt>
                <c:pt idx="60">
                  <c:v>1.0695187165775402</c:v>
                </c:pt>
                <c:pt idx="61">
                  <c:v>0.7326007326007326</c:v>
                </c:pt>
                <c:pt idx="62">
                  <c:v>0.9487666034155597</c:v>
                </c:pt>
                <c:pt idx="63">
                  <c:v>0.7874015748031497</c:v>
                </c:pt>
                <c:pt idx="64">
                  <c:v>0.9478672985781991</c:v>
                </c:pt>
                <c:pt idx="65">
                  <c:v>0.8810572687224669</c:v>
                </c:pt>
                <c:pt idx="66">
                  <c:v>1.0695187165775402</c:v>
                </c:pt>
                <c:pt idx="67">
                  <c:v>0.6779661016949152</c:v>
                </c:pt>
                <c:pt idx="68">
                  <c:v>0.6711409395973155</c:v>
                </c:pt>
                <c:pt idx="69">
                  <c:v>0.6514657980456026</c:v>
                </c:pt>
                <c:pt idx="70">
                  <c:v>0.8064516129032258</c:v>
                </c:pt>
                <c:pt idx="71">
                  <c:v>0.7347538574577517</c:v>
                </c:pt>
                <c:pt idx="72">
                  <c:v>0.7399186089530151</c:v>
                </c:pt>
                <c:pt idx="73">
                  <c:v>0.7561436672967864</c:v>
                </c:pt>
                <c:pt idx="74">
                  <c:v>0.7142857142857143</c:v>
                </c:pt>
                <c:pt idx="75">
                  <c:v>0.746268656716418</c:v>
                </c:pt>
                <c:pt idx="76">
                  <c:v>0.6666666666666666</c:v>
                </c:pt>
                <c:pt idx="77">
                  <c:v>0.6644518272425249</c:v>
                </c:pt>
                <c:pt idx="78">
                  <c:v>0.9049773755656109</c:v>
                </c:pt>
                <c:pt idx="79">
                  <c:v>0.9049773755656109</c:v>
                </c:pt>
                <c:pt idx="80">
                  <c:v>0.9573958831977022</c:v>
                </c:pt>
                <c:pt idx="81">
                  <c:v>0.8833922261484098</c:v>
                </c:pt>
                <c:pt idx="82">
                  <c:v>0.7142857142857143</c:v>
                </c:pt>
                <c:pt idx="83">
                  <c:v>1.0582010582010581</c:v>
                </c:pt>
                <c:pt idx="84">
                  <c:v>1.1111111111111112</c:v>
                </c:pt>
                <c:pt idx="85">
                  <c:v>0.39674667724657803</c:v>
                </c:pt>
                <c:pt idx="86">
                  <c:v>1.1428571428571428</c:v>
                </c:pt>
                <c:pt idx="87">
                  <c:v>1.1428571428571428</c:v>
                </c:pt>
                <c:pt idx="88">
                  <c:v>0.7168458781362007</c:v>
                </c:pt>
                <c:pt idx="89">
                  <c:v>0.9615384615384616</c:v>
                </c:pt>
                <c:pt idx="90">
                  <c:v>0.6896551724137931</c:v>
                </c:pt>
                <c:pt idx="91">
                  <c:v>0.6896551724137931</c:v>
                </c:pt>
                <c:pt idx="92">
                  <c:v>0.7407407407407407</c:v>
                </c:pt>
                <c:pt idx="93">
                  <c:v>0.5970149253731343</c:v>
                </c:pt>
                <c:pt idx="94">
                  <c:v>0.6872852233676976</c:v>
                </c:pt>
                <c:pt idx="95">
                  <c:v>0.7961783439490446</c:v>
                </c:pt>
                <c:pt idx="96">
                  <c:v>1.2422360248447204</c:v>
                </c:pt>
                <c:pt idx="97">
                  <c:v>1.0695187165775402</c:v>
                </c:pt>
                <c:pt idx="98">
                  <c:v>1.0695187165775402</c:v>
                </c:pt>
                <c:pt idx="99">
                  <c:v>0.7137758743754461</c:v>
                </c:pt>
                <c:pt idx="100">
                  <c:v>0.7821666014861166</c:v>
                </c:pt>
                <c:pt idx="101">
                  <c:v>0.4358247984310307</c:v>
                </c:pt>
                <c:pt idx="102">
                  <c:v>1.2987012987012987</c:v>
                </c:pt>
                <c:pt idx="103">
                  <c:v>0.5</c:v>
                </c:pt>
                <c:pt idx="104">
                  <c:v>0.6711409395973155</c:v>
                </c:pt>
                <c:pt idx="105">
                  <c:v>0.4922471080482402</c:v>
                </c:pt>
                <c:pt idx="106">
                  <c:v>0.704225352112676</c:v>
                </c:pt>
                <c:pt idx="107">
                  <c:v>0.704225352112676</c:v>
                </c:pt>
                <c:pt idx="108">
                  <c:v>0.48567265662943176</c:v>
                </c:pt>
                <c:pt idx="109">
                  <c:v>1.0443864229765014</c:v>
                </c:pt>
                <c:pt idx="110">
                  <c:v>0.6395906619763352</c:v>
                </c:pt>
                <c:pt idx="111">
                  <c:v>0.5512679162072767</c:v>
                </c:pt>
                <c:pt idx="112">
                  <c:v>0.5555555555555556</c:v>
                </c:pt>
                <c:pt idx="113">
                  <c:v>0.5555555555555556</c:v>
                </c:pt>
                <c:pt idx="114">
                  <c:v>0.6644518272425249</c:v>
                </c:pt>
                <c:pt idx="115">
                  <c:v>0.42735042735042733</c:v>
                </c:pt>
                <c:pt idx="116">
                  <c:v>0.547945205479452</c:v>
                </c:pt>
                <c:pt idx="117">
                  <c:v>0.45454545454545453</c:v>
                </c:pt>
                <c:pt idx="118">
                  <c:v>0.8883248730964467</c:v>
                </c:pt>
                <c:pt idx="119">
                  <c:v>0.9020618556701031</c:v>
                </c:pt>
                <c:pt idx="120">
                  <c:v>0.6227758007117438</c:v>
                </c:pt>
                <c:pt idx="121">
                  <c:v>1.0144927536231885</c:v>
                </c:pt>
                <c:pt idx="122">
                  <c:v>1</c:v>
                </c:pt>
                <c:pt idx="123">
                  <c:v>0.7028112449799196</c:v>
                </c:pt>
                <c:pt idx="124">
                  <c:v>0.6363636363636364</c:v>
                </c:pt>
                <c:pt idx="125">
                  <c:v>1.2962962962962963</c:v>
                </c:pt>
                <c:pt idx="126">
                  <c:v>0.8974358974358975</c:v>
                </c:pt>
                <c:pt idx="127">
                  <c:v>0.813953488372093</c:v>
                </c:pt>
                <c:pt idx="128">
                  <c:v>0.813953488372093</c:v>
                </c:pt>
                <c:pt idx="129">
                  <c:v>0.813953488372093</c:v>
                </c:pt>
                <c:pt idx="130">
                  <c:v>1</c:v>
                </c:pt>
                <c:pt idx="131">
                  <c:v>0.9459459459459459</c:v>
                </c:pt>
                <c:pt idx="132">
                  <c:v>0.9459459459459459</c:v>
                </c:pt>
                <c:pt idx="133">
                  <c:v>0.9459459459459459</c:v>
                </c:pt>
                <c:pt idx="134">
                  <c:v>0.8928571428571429</c:v>
                </c:pt>
                <c:pt idx="135">
                  <c:v>0.8641975308641975</c:v>
                </c:pt>
                <c:pt idx="136">
                  <c:v>1</c:v>
                </c:pt>
                <c:pt idx="137">
                  <c:v>1</c:v>
                </c:pt>
                <c:pt idx="138">
                  <c:v>0.9333333333333333</c:v>
                </c:pt>
                <c:pt idx="139">
                  <c:v>0.7625272331154684</c:v>
                </c:pt>
                <c:pt idx="140">
                  <c:v>0.5852842809364549</c:v>
                </c:pt>
              </c:numCache>
            </c:numRef>
          </c:yVal>
          <c:smooth val="0"/>
        </c:ser>
        <c:axId val="50387280"/>
        <c:axId val="50832337"/>
      </c:scatterChart>
      <c:valAx>
        <c:axId val="50387280"/>
        <c:scaling>
          <c:orientation val="minMax"/>
        </c:scaling>
        <c:axPos val="b"/>
        <c:title>
          <c:tx>
            <c:rich>
              <a:bodyPr vert="horz" rot="0" anchor="ctr"/>
              <a:lstStyle/>
              <a:p>
                <a:pPr algn="ctr">
                  <a:defRPr/>
                </a:pPr>
                <a:r>
                  <a:rPr lang="en-US" cap="none" sz="1200" b="1" i="0" u="none" baseline="0">
                    <a:latin typeface="Arial"/>
                    <a:ea typeface="Arial"/>
                    <a:cs typeface="Arial"/>
                  </a:rPr>
                  <a:t>Viewable Diagonal (in2)</a:t>
                </a:r>
              </a:p>
            </c:rich>
          </c:tx>
          <c:layout/>
          <c:overlay val="0"/>
          <c:spPr>
            <a:noFill/>
            <a:ln>
              <a:noFill/>
            </a:ln>
          </c:spPr>
        </c:title>
        <c:delete val="0"/>
        <c:numFmt formatCode="General" sourceLinked="1"/>
        <c:majorTickMark val="out"/>
        <c:minorTickMark val="none"/>
        <c:tickLblPos val="nextTo"/>
        <c:crossAx val="50832337"/>
        <c:crosses val="autoZero"/>
        <c:crossBetween val="midCat"/>
        <c:dispUnits/>
      </c:valAx>
      <c:valAx>
        <c:axId val="50832337"/>
        <c:scaling>
          <c:orientation val="minMax"/>
          <c:max val="2"/>
        </c:scaling>
        <c:axPos val="l"/>
        <c:title>
          <c:tx>
            <c:rich>
              <a:bodyPr vert="horz" rot="-5400000" anchor="ctr"/>
              <a:lstStyle/>
              <a:p>
                <a:pPr algn="ctr">
                  <a:defRPr/>
                </a:pPr>
                <a:r>
                  <a:rPr lang="en-US" cap="none" sz="1200" b="1" i="0" u="none" baseline="0">
                    <a:latin typeface="Arial"/>
                    <a:ea typeface="Arial"/>
                    <a:cs typeface="Arial"/>
                  </a:rPr>
                  <a:t>Prescribed Luminance/Default Luminance</a:t>
                </a:r>
              </a:p>
            </c:rich>
          </c:tx>
          <c:layout/>
          <c:overlay val="0"/>
          <c:spPr>
            <a:noFill/>
            <a:ln>
              <a:noFill/>
            </a:ln>
          </c:spPr>
        </c:title>
        <c:majorGridlines/>
        <c:delete val="0"/>
        <c:numFmt formatCode="General" sourceLinked="1"/>
        <c:majorTickMark val="out"/>
        <c:minorTickMark val="none"/>
        <c:tickLblPos val="nextTo"/>
        <c:crossAx val="50387280"/>
        <c:crosses val="autoZero"/>
        <c:crossBetween val="midCat"/>
        <c:dispUnits/>
        <c:majorUnit val="0.25"/>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cdr:x>
      <cdr:y>0.07575</cdr:y>
    </cdr:from>
    <cdr:to>
      <cdr:x>0.2605</cdr:x>
      <cdr:y>0.1305</cdr:y>
    </cdr:to>
    <cdr:sp>
      <cdr:nvSpPr>
        <cdr:cNvPr id="1" name="TextBox 1"/>
        <cdr:cNvSpPr txBox="1">
          <a:spLocks noChangeArrowheads="1"/>
        </cdr:cNvSpPr>
      </cdr:nvSpPr>
      <cdr:spPr>
        <a:xfrm>
          <a:off x="752475" y="257175"/>
          <a:ext cx="533400" cy="190500"/>
        </a:xfrm>
        <a:prstGeom prst="rect">
          <a:avLst/>
        </a:prstGeom>
        <a:solidFill>
          <a:srgbClr val="FFFFFF"/>
        </a:solidFill>
        <a:ln w="9525" cmpd="sng">
          <a:noFill/>
        </a:ln>
      </cdr:spPr>
      <cdr:txBody>
        <a:bodyPr vertOverflow="clip" wrap="square"/>
        <a:p>
          <a:pPr algn="l">
            <a:defRPr/>
          </a:pPr>
          <a:r>
            <a:rPr lang="en-US" cap="none" sz="1000" b="1" i="0" u="none" baseline="0">
              <a:latin typeface="Arial"/>
              <a:ea typeface="Arial"/>
              <a:cs typeface="Arial"/>
            </a:rPr>
            <a:t>n=99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0.14725</cdr:x>
      <cdr:y>0.11425</cdr:y>
    </cdr:from>
    <cdr:to>
      <cdr:x>0.25675</cdr:x>
      <cdr:y>0.174</cdr:y>
    </cdr:to>
    <cdr:sp>
      <cdr:nvSpPr>
        <cdr:cNvPr id="1" name="TextBox 1"/>
        <cdr:cNvSpPr txBox="1">
          <a:spLocks noChangeArrowheads="1"/>
        </cdr:cNvSpPr>
      </cdr:nvSpPr>
      <cdr:spPr>
        <a:xfrm>
          <a:off x="723900" y="390525"/>
          <a:ext cx="542925" cy="200025"/>
        </a:xfrm>
        <a:prstGeom prst="rect">
          <a:avLst/>
        </a:prstGeom>
        <a:solidFill>
          <a:srgbClr val="FFFFFF"/>
        </a:solidFill>
        <a:ln w="9525" cmpd="sng">
          <a:noFill/>
        </a:ln>
      </cdr:spPr>
      <cdr:txBody>
        <a:bodyPr vertOverflow="clip" wrap="square"/>
        <a:p>
          <a:pPr algn="l">
            <a:defRPr/>
          </a:pPr>
          <a:r>
            <a:rPr lang="en-US" cap="none" sz="1000" b="1" i="0" u="none" baseline="0">
              <a:latin typeface="Arial"/>
              <a:ea typeface="Arial"/>
              <a:cs typeface="Arial"/>
            </a:rPr>
            <a:t>n=23</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0.1255</cdr:x>
      <cdr:y>0.1255</cdr:y>
    </cdr:from>
    <cdr:to>
      <cdr:x>0.23275</cdr:x>
      <cdr:y>0.1855</cdr:y>
    </cdr:to>
    <cdr:sp>
      <cdr:nvSpPr>
        <cdr:cNvPr id="1" name="TextBox 1"/>
        <cdr:cNvSpPr txBox="1">
          <a:spLocks noChangeArrowheads="1"/>
        </cdr:cNvSpPr>
      </cdr:nvSpPr>
      <cdr:spPr>
        <a:xfrm>
          <a:off x="619125" y="428625"/>
          <a:ext cx="533400" cy="209550"/>
        </a:xfrm>
        <a:prstGeom prst="rect">
          <a:avLst/>
        </a:prstGeom>
        <a:solidFill>
          <a:srgbClr val="FFFFFF"/>
        </a:solidFill>
        <a:ln w="9525" cmpd="sng">
          <a:noFill/>
        </a:ln>
      </cdr:spPr>
      <cdr:txBody>
        <a:bodyPr vertOverflow="clip" wrap="square"/>
        <a:p>
          <a:pPr algn="l">
            <a:defRPr/>
          </a:pPr>
          <a:r>
            <a:rPr lang="en-US" cap="none" sz="1000" b="1" i="0" u="none" baseline="0">
              <a:latin typeface="Arial"/>
              <a:ea typeface="Arial"/>
              <a:cs typeface="Arial"/>
            </a:rPr>
            <a:t>n=19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9</xdr:col>
      <xdr:colOff>76200</xdr:colOff>
      <xdr:row>44</xdr:row>
      <xdr:rowOff>19050</xdr:rowOff>
    </xdr:to>
    <xdr:graphicFrame>
      <xdr:nvGraphicFramePr>
        <xdr:cNvPr id="1" name="Chart 2"/>
        <xdr:cNvGraphicFramePr/>
      </xdr:nvGraphicFramePr>
      <xdr:xfrm>
        <a:off x="609600" y="3724275"/>
        <a:ext cx="4953000" cy="34194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45</xdr:row>
      <xdr:rowOff>0</xdr:rowOff>
    </xdr:from>
    <xdr:to>
      <xdr:col>9</xdr:col>
      <xdr:colOff>76200</xdr:colOff>
      <xdr:row>66</xdr:row>
      <xdr:rowOff>19050</xdr:rowOff>
    </xdr:to>
    <xdr:graphicFrame>
      <xdr:nvGraphicFramePr>
        <xdr:cNvPr id="2" name="Chart 3"/>
        <xdr:cNvGraphicFramePr/>
      </xdr:nvGraphicFramePr>
      <xdr:xfrm>
        <a:off x="609600" y="7286625"/>
        <a:ext cx="4953000" cy="34194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xdr:row>
      <xdr:rowOff>0</xdr:rowOff>
    </xdr:from>
    <xdr:to>
      <xdr:col>9</xdr:col>
      <xdr:colOff>76200</xdr:colOff>
      <xdr:row>22</xdr:row>
      <xdr:rowOff>19050</xdr:rowOff>
    </xdr:to>
    <xdr:graphicFrame>
      <xdr:nvGraphicFramePr>
        <xdr:cNvPr id="3" name="Chart 10"/>
        <xdr:cNvGraphicFramePr/>
      </xdr:nvGraphicFramePr>
      <xdr:xfrm>
        <a:off x="609600" y="161925"/>
        <a:ext cx="4953000" cy="3419475"/>
      </xdr:xfrm>
      <a:graphic>
        <a:graphicData uri="http://schemas.openxmlformats.org/drawingml/2006/chart">
          <c:chart xmlns:c="http://schemas.openxmlformats.org/drawingml/2006/chart" r:id="rId3"/>
        </a:graphicData>
      </a:graphic>
    </xdr:graphicFrame>
    <xdr:clientData/>
  </xdr:twoCellAnchor>
  <xdr:twoCellAnchor>
    <xdr:from>
      <xdr:col>0</xdr:col>
      <xdr:colOff>514350</xdr:colOff>
      <xdr:row>71</xdr:row>
      <xdr:rowOff>28575</xdr:rowOff>
    </xdr:from>
    <xdr:to>
      <xdr:col>11</xdr:col>
      <xdr:colOff>47625</xdr:colOff>
      <xdr:row>96</xdr:row>
      <xdr:rowOff>114300</xdr:rowOff>
    </xdr:to>
    <xdr:graphicFrame>
      <xdr:nvGraphicFramePr>
        <xdr:cNvPr id="4" name="Chart 12"/>
        <xdr:cNvGraphicFramePr/>
      </xdr:nvGraphicFramePr>
      <xdr:xfrm>
        <a:off x="514350" y="11525250"/>
        <a:ext cx="6238875" cy="41338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csanchez@lbl.gov"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H42"/>
  <sheetViews>
    <sheetView tabSelected="1" workbookViewId="0" topLeftCell="A1">
      <selection activeCell="H47" sqref="H47"/>
    </sheetView>
  </sheetViews>
  <sheetFormatPr defaultColWidth="9.140625" defaultRowHeight="12.75"/>
  <sheetData>
    <row r="1" ht="12.75">
      <c r="A1" t="s">
        <v>242</v>
      </c>
    </row>
    <row r="2" ht="12.75">
      <c r="A2" t="s">
        <v>243</v>
      </c>
    </row>
    <row r="3" ht="12.75">
      <c r="A3" t="s">
        <v>244</v>
      </c>
    </row>
    <row r="4" ht="12.75">
      <c r="A4" s="366" t="s">
        <v>245</v>
      </c>
    </row>
    <row r="5" ht="12.75">
      <c r="A5" t="s">
        <v>246</v>
      </c>
    </row>
    <row r="7" ht="12.75">
      <c r="A7" t="s">
        <v>276</v>
      </c>
    </row>
    <row r="8" ht="12.75">
      <c r="A8" t="s">
        <v>277</v>
      </c>
    </row>
    <row r="9" ht="12.75">
      <c r="A9" t="s">
        <v>278</v>
      </c>
    </row>
    <row r="11" ht="12.75">
      <c r="A11" t="s">
        <v>279</v>
      </c>
    </row>
    <row r="12" ht="12.75">
      <c r="A12" s="407" t="s">
        <v>280</v>
      </c>
    </row>
    <row r="13" ht="12.75">
      <c r="A13" s="407" t="s">
        <v>307</v>
      </c>
    </row>
    <row r="15" ht="12.75">
      <c r="A15" t="s">
        <v>281</v>
      </c>
    </row>
    <row r="16" ht="12.75">
      <c r="A16" t="s">
        <v>282</v>
      </c>
    </row>
    <row r="18" ht="12.75">
      <c r="A18" t="s">
        <v>283</v>
      </c>
    </row>
    <row r="19" ht="12.75">
      <c r="A19" t="s">
        <v>284</v>
      </c>
    </row>
    <row r="21" ht="12.75">
      <c r="A21" t="s">
        <v>285</v>
      </c>
    </row>
    <row r="22" ht="12.75">
      <c r="A22" t="s">
        <v>298</v>
      </c>
    </row>
    <row r="24" ht="12.75">
      <c r="A24" t="s">
        <v>286</v>
      </c>
    </row>
    <row r="25" ht="12.75">
      <c r="A25" t="s">
        <v>287</v>
      </c>
    </row>
    <row r="26" ht="12.75">
      <c r="A26" s="407" t="s">
        <v>288</v>
      </c>
    </row>
    <row r="27" ht="12.75">
      <c r="A27" s="407" t="s">
        <v>289</v>
      </c>
    </row>
    <row r="28" ht="12.75">
      <c r="A28" s="407" t="s">
        <v>290</v>
      </c>
    </row>
    <row r="29" spans="1:8" ht="12.75">
      <c r="A29" s="408" t="s">
        <v>291</v>
      </c>
      <c r="B29" s="17"/>
      <c r="C29" s="17"/>
      <c r="D29" s="17"/>
      <c r="E29" s="17"/>
      <c r="F29" s="17"/>
      <c r="G29" s="17"/>
      <c r="H29" s="17"/>
    </row>
    <row r="30" spans="1:8" ht="12.75">
      <c r="A30" s="38"/>
      <c r="B30" s="17"/>
      <c r="C30" s="17"/>
      <c r="D30" s="17"/>
      <c r="E30" s="17"/>
      <c r="F30" s="17"/>
      <c r="G30" s="17"/>
      <c r="H30" s="17"/>
    </row>
    <row r="31" ht="12.75">
      <c r="A31" s="38" t="s">
        <v>292</v>
      </c>
    </row>
    <row r="32" spans="1:6" ht="12.75">
      <c r="A32" s="408" t="s">
        <v>293</v>
      </c>
      <c r="B32" s="17"/>
      <c r="C32" s="17"/>
      <c r="D32" s="17"/>
      <c r="E32" s="17"/>
      <c r="F32" s="17"/>
    </row>
    <row r="33" spans="1:6" ht="12.75">
      <c r="A33" s="38"/>
      <c r="B33" s="17"/>
      <c r="C33" s="17"/>
      <c r="D33" s="17"/>
      <c r="E33" s="17"/>
      <c r="F33" s="17"/>
    </row>
    <row r="34" spans="1:6" ht="12.75">
      <c r="A34" s="38" t="s">
        <v>294</v>
      </c>
      <c r="B34" s="17"/>
      <c r="C34" s="17"/>
      <c r="D34" s="17"/>
      <c r="E34" s="17"/>
      <c r="F34" s="17"/>
    </row>
    <row r="35" spans="1:6" ht="12.75">
      <c r="A35" s="408" t="s">
        <v>295</v>
      </c>
      <c r="B35" s="17"/>
      <c r="C35" s="17"/>
      <c r="D35" s="17"/>
      <c r="E35" s="17"/>
      <c r="F35" s="17"/>
    </row>
    <row r="36" spans="1:6" ht="12.75">
      <c r="A36" s="38"/>
      <c r="B36" s="17"/>
      <c r="C36" s="17"/>
      <c r="D36" s="17"/>
      <c r="E36" s="17"/>
      <c r="F36" s="17"/>
    </row>
    <row r="37" spans="1:6" ht="12.75">
      <c r="A37" s="38" t="s">
        <v>296</v>
      </c>
      <c r="B37" s="17"/>
      <c r="C37" s="17"/>
      <c r="D37" s="17"/>
      <c r="E37" s="17"/>
      <c r="F37" s="17"/>
    </row>
    <row r="38" spans="1:6" ht="12.75">
      <c r="A38" s="408" t="s">
        <v>297</v>
      </c>
      <c r="B38" s="17"/>
      <c r="C38" s="17"/>
      <c r="D38" s="17"/>
      <c r="E38" s="17"/>
      <c r="F38" s="17"/>
    </row>
    <row r="39" spans="1:6" ht="12.75">
      <c r="A39" s="38"/>
      <c r="B39" s="17"/>
      <c r="C39" s="17"/>
      <c r="D39" s="17"/>
      <c r="E39" s="17"/>
      <c r="F39" s="17"/>
    </row>
    <row r="40" spans="1:6" ht="12.75">
      <c r="A40" s="17" t="s">
        <v>308</v>
      </c>
      <c r="B40" s="17"/>
      <c r="C40" s="17"/>
      <c r="D40" s="17"/>
      <c r="E40" s="17"/>
      <c r="F40" s="17"/>
    </row>
    <row r="41" spans="1:6" ht="12.75">
      <c r="A41" s="17"/>
      <c r="B41" s="17"/>
      <c r="C41" s="17"/>
      <c r="D41" s="17"/>
      <c r="E41" s="17"/>
      <c r="F41" s="17"/>
    </row>
    <row r="42" spans="1:6" ht="12.75">
      <c r="A42" s="38"/>
      <c r="B42" s="17"/>
      <c r="C42" s="17"/>
      <c r="D42" s="17"/>
      <c r="E42" s="17"/>
      <c r="F42" s="17"/>
    </row>
  </sheetData>
  <hyperlinks>
    <hyperlink ref="A4" r:id="rId1" display="mcsanchez@lbl.gov"/>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R157"/>
  <sheetViews>
    <sheetView workbookViewId="0" topLeftCell="A111">
      <selection activeCell="M25" sqref="M25"/>
    </sheetView>
  </sheetViews>
  <sheetFormatPr defaultColWidth="9.140625" defaultRowHeight="12.75"/>
  <cols>
    <col min="1" max="6" width="9.140625" style="444" customWidth="1"/>
    <col min="7" max="7" width="11.140625" style="415" customWidth="1"/>
    <col min="8" max="8" width="9.140625" style="444" customWidth="1"/>
    <col min="9" max="9" width="9.140625" style="445" customWidth="1"/>
    <col min="10" max="13" width="9.140625" style="444" customWidth="1"/>
    <col min="14" max="14" width="10.00390625" style="444" bestFit="1" customWidth="1"/>
    <col min="15" max="27" width="9.140625" style="444" customWidth="1"/>
    <col min="28" max="28" width="15.57421875" style="444" customWidth="1"/>
    <col min="29" max="29" width="16.140625" style="444" customWidth="1"/>
    <col min="30" max="32" width="9.140625" style="444" customWidth="1"/>
    <col min="33" max="33" width="10.28125" style="444" customWidth="1"/>
    <col min="34" max="34" width="13.7109375" style="444" customWidth="1"/>
    <col min="35" max="35" width="11.8515625" style="444" customWidth="1"/>
    <col min="36" max="36" width="8.7109375" style="444" customWidth="1"/>
    <col min="37" max="37" width="16.8515625" style="444" customWidth="1"/>
    <col min="38" max="38" width="10.8515625" style="444" customWidth="1"/>
    <col min="39" max="39" width="14.00390625" style="444" customWidth="1"/>
    <col min="40" max="40" width="11.00390625" style="445" customWidth="1"/>
    <col min="41" max="41" width="11.00390625" style="446" customWidth="1"/>
    <col min="42" max="42" width="13.28125" style="446" customWidth="1"/>
    <col min="43" max="16384" width="9.140625" style="444" customWidth="1"/>
  </cols>
  <sheetData>
    <row r="1" spans="1:42" s="421" customFormat="1" ht="54.75" customHeight="1" thickBot="1">
      <c r="A1" s="440"/>
      <c r="B1" s="488" t="s">
        <v>90</v>
      </c>
      <c r="C1" s="489"/>
      <c r="D1" s="426" t="s">
        <v>91</v>
      </c>
      <c r="E1" s="427"/>
      <c r="F1" s="427"/>
      <c r="G1" s="428"/>
      <c r="H1" s="427"/>
      <c r="I1" s="429"/>
      <c r="J1" s="427"/>
      <c r="K1" s="427"/>
      <c r="L1" s="430"/>
      <c r="M1" s="431" t="s">
        <v>92</v>
      </c>
      <c r="N1" s="427"/>
      <c r="O1" s="427"/>
      <c r="P1" s="427"/>
      <c r="Q1" s="427"/>
      <c r="R1" s="430"/>
      <c r="S1" s="432" t="s">
        <v>93</v>
      </c>
      <c r="T1" s="433"/>
      <c r="U1" s="433"/>
      <c r="V1" s="433"/>
      <c r="W1" s="433"/>
      <c r="X1" s="433"/>
      <c r="Y1" s="433"/>
      <c r="Z1" s="433"/>
      <c r="AA1" s="434"/>
      <c r="AB1" s="435" t="s">
        <v>94</v>
      </c>
      <c r="AC1" s="436"/>
      <c r="AD1" s="437" t="s">
        <v>95</v>
      </c>
      <c r="AE1" s="438"/>
      <c r="AF1" s="438"/>
      <c r="AG1" s="439"/>
      <c r="AH1" s="441" t="s">
        <v>256</v>
      </c>
      <c r="AI1" s="441" t="s">
        <v>257</v>
      </c>
      <c r="AJ1" s="441" t="s">
        <v>255</v>
      </c>
      <c r="AK1" s="441" t="s">
        <v>269</v>
      </c>
      <c r="AL1" s="441" t="s">
        <v>258</v>
      </c>
      <c r="AM1" s="441" t="s">
        <v>300</v>
      </c>
      <c r="AN1" s="442" t="s">
        <v>301</v>
      </c>
      <c r="AO1" s="443" t="s">
        <v>268</v>
      </c>
      <c r="AP1" s="443" t="s">
        <v>270</v>
      </c>
    </row>
    <row r="2" spans="1:42" s="421" customFormat="1" ht="90.75" thickBot="1">
      <c r="A2" s="370" t="s">
        <v>0</v>
      </c>
      <c r="B2" s="276" t="s">
        <v>96</v>
      </c>
      <c r="C2" s="371" t="s">
        <v>97</v>
      </c>
      <c r="D2" s="372" t="s">
        <v>98</v>
      </c>
      <c r="E2" s="373" t="s">
        <v>99</v>
      </c>
      <c r="F2" s="373" t="s">
        <v>100</v>
      </c>
      <c r="G2" s="373" t="s">
        <v>52</v>
      </c>
      <c r="H2" s="373" t="s">
        <v>101</v>
      </c>
      <c r="I2" s="386" t="s">
        <v>26</v>
      </c>
      <c r="J2" s="373" t="s">
        <v>102</v>
      </c>
      <c r="K2" s="373" t="s">
        <v>103</v>
      </c>
      <c r="L2" s="374" t="s">
        <v>104</v>
      </c>
      <c r="M2" s="375" t="s">
        <v>105</v>
      </c>
      <c r="N2" s="373" t="s">
        <v>106</v>
      </c>
      <c r="O2" s="376" t="s">
        <v>107</v>
      </c>
      <c r="P2" s="373" t="s">
        <v>108</v>
      </c>
      <c r="Q2" s="373" t="s">
        <v>109</v>
      </c>
      <c r="R2" s="374" t="s">
        <v>110</v>
      </c>
      <c r="S2" s="377" t="s">
        <v>111</v>
      </c>
      <c r="T2" s="373" t="s">
        <v>187</v>
      </c>
      <c r="U2" s="373" t="s">
        <v>251</v>
      </c>
      <c r="V2" s="373" t="s">
        <v>252</v>
      </c>
      <c r="W2" s="373" t="s">
        <v>253</v>
      </c>
      <c r="X2" s="376" t="s">
        <v>33</v>
      </c>
      <c r="Y2" s="376" t="s">
        <v>112</v>
      </c>
      <c r="Z2" s="376" t="s">
        <v>34</v>
      </c>
      <c r="AA2" s="378" t="s">
        <v>113</v>
      </c>
      <c r="AB2" s="379" t="s">
        <v>35</v>
      </c>
      <c r="AC2" s="378" t="s">
        <v>36</v>
      </c>
      <c r="AD2" s="377" t="s">
        <v>114</v>
      </c>
      <c r="AE2" s="376" t="s">
        <v>115</v>
      </c>
      <c r="AF2" s="376" t="s">
        <v>116</v>
      </c>
      <c r="AG2" s="378" t="s">
        <v>117</v>
      </c>
      <c r="AL2" s="444"/>
      <c r="AM2" s="444"/>
      <c r="AN2" s="445"/>
      <c r="AO2" s="446"/>
      <c r="AP2" s="446"/>
    </row>
    <row r="3" spans="1:44" ht="35.25" customHeight="1">
      <c r="A3" s="447">
        <v>1</v>
      </c>
      <c r="B3" s="448"/>
      <c r="C3" s="449" t="s">
        <v>118</v>
      </c>
      <c r="D3" s="450" t="s">
        <v>119</v>
      </c>
      <c r="E3" s="451" t="s">
        <v>120</v>
      </c>
      <c r="F3" s="451" t="s">
        <v>1</v>
      </c>
      <c r="G3" s="414">
        <f>VLOOKUP($A3,'Spec Analysis_ScreenSize'!$A$2:$E$142,5,0)</f>
        <v>2.304</v>
      </c>
      <c r="H3" s="452">
        <v>0.6736111111111112</v>
      </c>
      <c r="I3" s="453">
        <v>24</v>
      </c>
      <c r="J3" s="451">
        <v>20.24</v>
      </c>
      <c r="K3" s="451">
        <v>12.75</v>
      </c>
      <c r="L3" s="454">
        <v>258.06</v>
      </c>
      <c r="M3" s="455"/>
      <c r="N3" s="456" t="s">
        <v>121</v>
      </c>
      <c r="O3" s="451" t="s">
        <v>122</v>
      </c>
      <c r="P3" s="451" t="s">
        <v>122</v>
      </c>
      <c r="Q3" s="451" t="s">
        <v>123</v>
      </c>
      <c r="R3" s="451" t="s">
        <v>124</v>
      </c>
      <c r="S3" s="456" t="s">
        <v>125</v>
      </c>
      <c r="T3" s="451">
        <v>175</v>
      </c>
      <c r="U3" s="451">
        <v>71.4</v>
      </c>
      <c r="V3" s="451">
        <v>458.9</v>
      </c>
      <c r="W3" s="451">
        <v>458.9</v>
      </c>
      <c r="X3" s="451">
        <v>56.67</v>
      </c>
      <c r="Y3" s="451">
        <v>43.88</v>
      </c>
      <c r="Z3" s="451">
        <v>97.47</v>
      </c>
      <c r="AA3" s="451">
        <v>97.47</v>
      </c>
      <c r="AB3" s="451">
        <v>1.72</v>
      </c>
      <c r="AC3" s="451">
        <v>0.75</v>
      </c>
      <c r="AD3" s="456"/>
      <c r="AE3" s="456"/>
      <c r="AF3" s="456"/>
      <c r="AG3" s="456"/>
      <c r="AH3" s="446">
        <f>data2!$C2+data2!$B2*T3</f>
        <v>57.6477664561794</v>
      </c>
      <c r="AI3" s="446">
        <f>X3</f>
        <v>56.67</v>
      </c>
      <c r="AJ3" s="457">
        <f>(AH3-AI3)/AH3</f>
        <v>0.01696104665082972</v>
      </c>
      <c r="AK3" s="446">
        <f>IF(I3&gt;=30,data2!B2*'Proposed Spec Lines'!$E$6+data2!C2,IF(G3&gt;=1.1,data2!B2*'Proposed Spec Lines'!$C$6+data2!C2,data2!B2*'Proposed Spec Lines'!$D$6+data2!C2))</f>
        <v>61.14296971852765</v>
      </c>
      <c r="AL3" s="445">
        <f>IF(I3&gt;=30,'Proposed Spec Lines'!$E$6,IF(G3&gt;=1.1,'Proposed Spec Lines'!$C$6,'Proposed Spec Lines'!$D$6))</f>
        <v>200</v>
      </c>
      <c r="AM3" s="446">
        <f aca="true" t="shared" si="0" ref="AM3:AM8">IF($AL3=175,X3,IF($W3&lt;$AL3,$AA3,$AK3))</f>
        <v>61.14296971852765</v>
      </c>
      <c r="AN3" s="445">
        <f aca="true" t="shared" si="1" ref="AN3:AN8">IF($AL3=175,T3,IF($AL3&gt;W3,W3,$AL3))</f>
        <v>200</v>
      </c>
      <c r="AO3" s="446">
        <f>IF(O3="Y",'Proposed Spec Lines'!$G$6*AM3+'Proposed Spec Lines'!$G$5*Y3,AM3)</f>
        <v>57.69037577482213</v>
      </c>
      <c r="AP3" s="445">
        <f>IF(O3="Y",'Proposed Spec Lines'!$G$6*AN3+'Proposed Spec Lines'!$G$5*U3,AN3)</f>
        <v>174.28</v>
      </c>
      <c r="AR3" s="458"/>
    </row>
    <row r="4" spans="1:44" ht="45">
      <c r="A4" s="416">
        <v>2</v>
      </c>
      <c r="B4" s="459"/>
      <c r="C4" s="281" t="s">
        <v>118</v>
      </c>
      <c r="D4" s="244" t="s">
        <v>119</v>
      </c>
      <c r="E4" s="280" t="s">
        <v>127</v>
      </c>
      <c r="F4" s="280" t="s">
        <v>2</v>
      </c>
      <c r="G4" s="414">
        <f>VLOOKUP($A4,'Spec Analysis_ScreenSize'!$A$2:$E$142,5,0)</f>
        <v>1.764</v>
      </c>
      <c r="H4" s="282">
        <v>0.6736111111111112</v>
      </c>
      <c r="I4" s="389">
        <v>22</v>
      </c>
      <c r="J4" s="280">
        <v>18.65</v>
      </c>
      <c r="K4" s="280">
        <v>11.65</v>
      </c>
      <c r="L4" s="246">
        <v>217.2725</v>
      </c>
      <c r="M4" s="460"/>
      <c r="N4" s="279" t="s">
        <v>129</v>
      </c>
      <c r="O4" s="280" t="s">
        <v>123</v>
      </c>
      <c r="P4" s="280" t="s">
        <v>122</v>
      </c>
      <c r="Q4" s="280" t="s">
        <v>123</v>
      </c>
      <c r="R4" s="280" t="s">
        <v>130</v>
      </c>
      <c r="S4" s="280" t="s">
        <v>125</v>
      </c>
      <c r="T4" s="280">
        <v>175</v>
      </c>
      <c r="U4" s="280">
        <v>60.46</v>
      </c>
      <c r="V4" s="280">
        <v>280</v>
      </c>
      <c r="W4" s="280">
        <v>280</v>
      </c>
      <c r="X4" s="280">
        <v>32.99</v>
      </c>
      <c r="Y4" s="280">
        <v>21.87</v>
      </c>
      <c r="Z4" s="280">
        <v>43.14</v>
      </c>
      <c r="AA4" s="280">
        <v>43.14</v>
      </c>
      <c r="AB4" s="280">
        <v>1.03</v>
      </c>
      <c r="AC4" s="280">
        <v>0.77</v>
      </c>
      <c r="AD4" s="279"/>
      <c r="AE4" s="279"/>
      <c r="AF4" s="279"/>
      <c r="AG4" s="279"/>
      <c r="AH4" s="446">
        <f>data2!$C3+data2!$B3*T4</f>
        <v>32.97324978575538</v>
      </c>
      <c r="AI4" s="446">
        <f aca="true" t="shared" si="2" ref="AI4:AI67">X4</f>
        <v>32.99</v>
      </c>
      <c r="AJ4" s="457">
        <f aca="true" t="shared" si="3" ref="AJ4:AJ67">(AH4-AI4)/AH4</f>
        <v>-0.0005079940361795957</v>
      </c>
      <c r="AK4" s="446">
        <f>IF(I4&gt;=30,data2!B3*'Proposed Spec Lines'!$E$6+data2!C3,IF(G4&gt;=1.1,data2!B3*'Proposed Spec Lines'!$C$6+data2!C3,data2!B3*'Proposed Spec Lines'!$D$6+data2!C3))</f>
        <v>35.394944960954014</v>
      </c>
      <c r="AL4" s="445">
        <f>IF(I4&gt;=30,'Proposed Spec Lines'!$E$6,IF(G4&gt;=1.1,'Proposed Spec Lines'!$C$6,'Proposed Spec Lines'!$D$6))</f>
        <v>200</v>
      </c>
      <c r="AM4" s="446">
        <f t="shared" si="0"/>
        <v>35.394944960954014</v>
      </c>
      <c r="AN4" s="445">
        <f t="shared" si="1"/>
        <v>200</v>
      </c>
      <c r="AO4" s="446">
        <f>IF(O4="Y",'Proposed Spec Lines'!$G$6*AM4+'Proposed Spec Lines'!$G$5*Y4,AM4)</f>
        <v>35.394944960954014</v>
      </c>
      <c r="AP4" s="445">
        <f>IF(O4="Y",'Proposed Spec Lines'!$G$6*AN4+'Proposed Spec Lines'!$G$5*U4,AN4)</f>
        <v>200</v>
      </c>
      <c r="AR4" s="458"/>
    </row>
    <row r="5" spans="1:44" ht="11.25">
      <c r="A5" s="416">
        <v>3</v>
      </c>
      <c r="B5" s="277">
        <v>39492</v>
      </c>
      <c r="C5" s="243" t="s">
        <v>118</v>
      </c>
      <c r="D5" s="244" t="s">
        <v>119</v>
      </c>
      <c r="E5" s="242" t="s">
        <v>127</v>
      </c>
      <c r="F5" s="244" t="s">
        <v>2</v>
      </c>
      <c r="G5" s="414">
        <f>VLOOKUP($A5,'Spec Analysis_ScreenSize'!$A$2:$E$142,5,0)</f>
        <v>1.764</v>
      </c>
      <c r="H5" s="249">
        <v>0.6736111111111112</v>
      </c>
      <c r="I5" s="387">
        <v>22</v>
      </c>
      <c r="J5" s="247">
        <v>19</v>
      </c>
      <c r="K5" s="247">
        <v>12</v>
      </c>
      <c r="L5" s="246">
        <v>228</v>
      </c>
      <c r="M5" s="247"/>
      <c r="N5" s="247" t="s">
        <v>131</v>
      </c>
      <c r="O5" s="242" t="s">
        <v>122</v>
      </c>
      <c r="P5" s="242" t="s">
        <v>122</v>
      </c>
      <c r="Q5" s="242"/>
      <c r="R5" s="247"/>
      <c r="S5" s="242" t="s">
        <v>133</v>
      </c>
      <c r="T5" s="242">
        <v>174</v>
      </c>
      <c r="U5" s="242">
        <v>1.14</v>
      </c>
      <c r="V5" s="242">
        <v>189</v>
      </c>
      <c r="W5" s="242">
        <v>325</v>
      </c>
      <c r="X5" s="242">
        <v>39.2</v>
      </c>
      <c r="Y5" s="242">
        <v>38.92</v>
      </c>
      <c r="Z5" s="242">
        <v>39.2</v>
      </c>
      <c r="AA5" s="242">
        <v>40.23</v>
      </c>
      <c r="AB5" s="242">
        <v>0.9</v>
      </c>
      <c r="AC5" s="242">
        <v>0.74</v>
      </c>
      <c r="AD5" s="247" t="s">
        <v>128</v>
      </c>
      <c r="AE5" s="247">
        <v>60</v>
      </c>
      <c r="AF5" s="248">
        <v>0.7</v>
      </c>
      <c r="AG5" s="247">
        <v>0.48</v>
      </c>
      <c r="AH5" s="446">
        <f>data2!$C4+data2!$B4*T5</f>
        <v>39.39415371913573</v>
      </c>
      <c r="AI5" s="446">
        <f t="shared" si="2"/>
        <v>39.2</v>
      </c>
      <c r="AJ5" s="457">
        <f t="shared" si="3"/>
        <v>0.0049284906719906695</v>
      </c>
      <c r="AK5" s="446">
        <f>IF(I5&gt;=30,data2!B4*'Proposed Spec Lines'!$E$6+data2!C4,IF(G5&gt;=1.1,data2!B4*'Proposed Spec Lines'!$C$6+data2!C4,data2!B4*'Proposed Spec Lines'!$D$6+data2!C4))</f>
        <v>39.49502642906508</v>
      </c>
      <c r="AL5" s="445">
        <f>IF(I5&gt;=30,'Proposed Spec Lines'!$E$6,IF(G5&gt;=1.1,'Proposed Spec Lines'!$C$6,'Proposed Spec Lines'!$D$6))</f>
        <v>200</v>
      </c>
      <c r="AM5" s="446">
        <f t="shared" si="0"/>
        <v>39.49502642906508</v>
      </c>
      <c r="AN5" s="445">
        <f t="shared" si="1"/>
        <v>200</v>
      </c>
      <c r="AO5" s="446">
        <f>IF(O5="Y",'Proposed Spec Lines'!$G$6*AM5+'Proposed Spec Lines'!$G$5*Y5,AM5)</f>
        <v>39.380021143252065</v>
      </c>
      <c r="AP5" s="445">
        <f>IF(O5="Y",'Proposed Spec Lines'!$G$6*AN5+'Proposed Spec Lines'!$G$5*U5,AN5)</f>
        <v>160.228</v>
      </c>
      <c r="AR5" s="458"/>
    </row>
    <row r="6" spans="1:44" s="421" customFormat="1" ht="11.25">
      <c r="A6" s="447">
        <v>4</v>
      </c>
      <c r="B6" s="277">
        <v>39490</v>
      </c>
      <c r="C6" s="243" t="s">
        <v>118</v>
      </c>
      <c r="D6" s="244" t="s">
        <v>119</v>
      </c>
      <c r="E6" s="242" t="s">
        <v>127</v>
      </c>
      <c r="F6" s="244" t="s">
        <v>14</v>
      </c>
      <c r="G6" s="414">
        <f>VLOOKUP($A6,'Spec Analysis_ScreenSize'!$A$2:$E$142,5,0)</f>
        <v>0.786432</v>
      </c>
      <c r="H6" s="245">
        <v>0.16875</v>
      </c>
      <c r="I6" s="388">
        <v>15</v>
      </c>
      <c r="J6" s="242">
        <v>12</v>
      </c>
      <c r="K6" s="242">
        <v>9</v>
      </c>
      <c r="L6" s="246">
        <v>108</v>
      </c>
      <c r="M6" s="247"/>
      <c r="N6" s="247" t="s">
        <v>131</v>
      </c>
      <c r="O6" s="242" t="s">
        <v>122</v>
      </c>
      <c r="P6" s="242" t="s">
        <v>122</v>
      </c>
      <c r="Q6" s="242"/>
      <c r="R6" s="242"/>
      <c r="S6" s="242" t="s">
        <v>133</v>
      </c>
      <c r="T6" s="242">
        <v>175</v>
      </c>
      <c r="U6" s="242">
        <v>1.25</v>
      </c>
      <c r="V6" s="242">
        <v>150</v>
      </c>
      <c r="W6" s="242">
        <v>225</v>
      </c>
      <c r="X6" s="242">
        <v>17.61</v>
      </c>
      <c r="Y6" s="242">
        <v>17.55</v>
      </c>
      <c r="Z6" s="242">
        <v>17.59</v>
      </c>
      <c r="AA6" s="242">
        <v>18.56</v>
      </c>
      <c r="AB6" s="242">
        <v>0.87</v>
      </c>
      <c r="AC6" s="242">
        <v>0.82</v>
      </c>
      <c r="AD6" s="247" t="s">
        <v>128</v>
      </c>
      <c r="AE6" s="247">
        <v>50</v>
      </c>
      <c r="AF6" s="248">
        <v>0.7</v>
      </c>
      <c r="AG6" s="247">
        <v>0.48</v>
      </c>
      <c r="AH6" s="422">
        <f>data2!$C5+data2!$B5*T6</f>
        <v>17.949008900074517</v>
      </c>
      <c r="AI6" s="422">
        <f t="shared" si="2"/>
        <v>17.61</v>
      </c>
      <c r="AJ6" s="423">
        <f t="shared" si="3"/>
        <v>0.018887332552000147</v>
      </c>
      <c r="AK6" s="422">
        <f>IF(I6&gt;=30,data2!B5*'Proposed Spec Lines'!$E$6+data2!C5,IF(G6&gt;=1.1,data2!B5*'Proposed Spec Lines'!$C$6+data2!C5,data2!B5*'Proposed Spec Lines'!$D$6+data2!C5))</f>
        <v>17.949008900074517</v>
      </c>
      <c r="AL6" s="424">
        <f>IF(I6&gt;=30,'Proposed Spec Lines'!$E$6,IF(G6&gt;=1.1,'Proposed Spec Lines'!$C$6,'Proposed Spec Lines'!$D$6))</f>
        <v>175</v>
      </c>
      <c r="AM6" s="422">
        <f t="shared" si="0"/>
        <v>17.61</v>
      </c>
      <c r="AN6" s="424">
        <f t="shared" si="1"/>
        <v>175</v>
      </c>
      <c r="AO6" s="446">
        <f>IF(O6="Y",'Proposed Spec Lines'!$G$6*AM6+'Proposed Spec Lines'!$G$5*Y6,AM6)</f>
        <v>17.598000000000003</v>
      </c>
      <c r="AP6" s="445">
        <f>IF(O6="Y",'Proposed Spec Lines'!$G$6*AN6+'Proposed Spec Lines'!$G$5*U6,AN6)</f>
        <v>140.25</v>
      </c>
      <c r="AR6" s="425"/>
    </row>
    <row r="7" spans="1:44" ht="11.25">
      <c r="A7" s="416">
        <v>5</v>
      </c>
      <c r="B7" s="277">
        <v>39490</v>
      </c>
      <c r="C7" s="243" t="s">
        <v>118</v>
      </c>
      <c r="D7" s="244" t="s">
        <v>119</v>
      </c>
      <c r="E7" s="242" t="s">
        <v>127</v>
      </c>
      <c r="F7" s="244" t="s">
        <v>3</v>
      </c>
      <c r="G7" s="414">
        <f>VLOOKUP($A7,'Spec Analysis_ScreenSize'!$A$2:$E$142,5,0)</f>
        <v>1.31072</v>
      </c>
      <c r="H7" s="249">
        <v>0.16875</v>
      </c>
      <c r="I7" s="388">
        <v>17</v>
      </c>
      <c r="J7" s="242">
        <v>13</v>
      </c>
      <c r="K7" s="242">
        <v>11</v>
      </c>
      <c r="L7" s="246">
        <v>143</v>
      </c>
      <c r="M7" s="247"/>
      <c r="N7" s="247" t="s">
        <v>131</v>
      </c>
      <c r="O7" s="242" t="s">
        <v>122</v>
      </c>
      <c r="P7" s="242" t="s">
        <v>122</v>
      </c>
      <c r="Q7" s="242"/>
      <c r="R7" s="242"/>
      <c r="S7" s="242" t="s">
        <v>132</v>
      </c>
      <c r="T7" s="242">
        <v>175</v>
      </c>
      <c r="U7" s="242">
        <v>1.2</v>
      </c>
      <c r="V7" s="242">
        <v>152</v>
      </c>
      <c r="W7" s="242">
        <v>250</v>
      </c>
      <c r="X7" s="242">
        <v>31.58</v>
      </c>
      <c r="Y7" s="242">
        <v>30.21</v>
      </c>
      <c r="Z7" s="242">
        <v>31.5</v>
      </c>
      <c r="AA7" s="242">
        <v>32.1</v>
      </c>
      <c r="AB7" s="242">
        <v>0.82</v>
      </c>
      <c r="AC7" s="242">
        <v>0.79</v>
      </c>
      <c r="AD7" s="247" t="s">
        <v>128</v>
      </c>
      <c r="AE7" s="247">
        <v>50</v>
      </c>
      <c r="AF7" s="248">
        <v>0.7</v>
      </c>
      <c r="AG7" s="247">
        <v>0.48</v>
      </c>
      <c r="AH7" s="446">
        <f>data2!$C6+data2!$B6*T7</f>
        <v>31.581228220459437</v>
      </c>
      <c r="AI7" s="446">
        <f t="shared" si="2"/>
        <v>31.58</v>
      </c>
      <c r="AJ7" s="457">
        <f t="shared" si="3"/>
        <v>3.889083891432711E-05</v>
      </c>
      <c r="AK7" s="446">
        <f>IF(I7&gt;=30,data2!B6*'Proposed Spec Lines'!$E$6+data2!C6,IF(G7&gt;=1.1,data2!B6*'Proposed Spec Lines'!$C$6+data2!C6,data2!B6*'Proposed Spec Lines'!$D$6+data2!C6))</f>
        <v>31.77312331114863</v>
      </c>
      <c r="AL7" s="445">
        <f>IF(I7&gt;=30,'Proposed Spec Lines'!$E$6,IF(G7&gt;=1.1,'Proposed Spec Lines'!$C$6,'Proposed Spec Lines'!$D$6))</f>
        <v>200</v>
      </c>
      <c r="AM7" s="446">
        <f t="shared" si="0"/>
        <v>31.77312331114863</v>
      </c>
      <c r="AN7" s="445">
        <f t="shared" si="1"/>
        <v>200</v>
      </c>
      <c r="AO7" s="446">
        <f>IF(O7="Y",'Proposed Spec Lines'!$G$6*AM7+'Proposed Spec Lines'!$G$5*Y7,AM7)</f>
        <v>31.460498648918907</v>
      </c>
      <c r="AP7" s="445">
        <f>IF(O7="Y",'Proposed Spec Lines'!$G$6*AN7+'Proposed Spec Lines'!$G$5*U7,AN7)</f>
        <v>160.24</v>
      </c>
      <c r="AR7" s="458"/>
    </row>
    <row r="8" spans="1:44" ht="11.25">
      <c r="A8" s="416">
        <v>6</v>
      </c>
      <c r="B8" s="277">
        <v>39490</v>
      </c>
      <c r="C8" s="243" t="s">
        <v>118</v>
      </c>
      <c r="D8" s="244" t="s">
        <v>119</v>
      </c>
      <c r="E8" s="242" t="s">
        <v>127</v>
      </c>
      <c r="F8" s="244" t="s">
        <v>3</v>
      </c>
      <c r="G8" s="414">
        <f>VLOOKUP($A8,'Spec Analysis_ScreenSize'!$A$2:$E$142,5,0)</f>
        <v>1.31072</v>
      </c>
      <c r="H8" s="249">
        <v>0.16875</v>
      </c>
      <c r="I8" s="388">
        <v>17</v>
      </c>
      <c r="J8" s="242">
        <v>13</v>
      </c>
      <c r="K8" s="242">
        <v>11</v>
      </c>
      <c r="L8" s="246">
        <v>143</v>
      </c>
      <c r="M8" s="247"/>
      <c r="N8" s="247" t="s">
        <v>131</v>
      </c>
      <c r="O8" s="242" t="s">
        <v>122</v>
      </c>
      <c r="P8" s="242" t="s">
        <v>122</v>
      </c>
      <c r="Q8" s="242"/>
      <c r="R8" s="242"/>
      <c r="S8" s="242" t="s">
        <v>133</v>
      </c>
      <c r="T8" s="242">
        <v>177</v>
      </c>
      <c r="U8" s="242">
        <v>11.1</v>
      </c>
      <c r="V8" s="242">
        <v>197</v>
      </c>
      <c r="W8" s="242">
        <v>257</v>
      </c>
      <c r="X8" s="242">
        <v>29.7</v>
      </c>
      <c r="Y8" s="242">
        <v>25.1</v>
      </c>
      <c r="Z8" s="242">
        <v>26.7</v>
      </c>
      <c r="AA8" s="242">
        <v>30.6</v>
      </c>
      <c r="AB8" s="242">
        <v>1.2</v>
      </c>
      <c r="AC8" s="242">
        <v>0.92</v>
      </c>
      <c r="AD8" s="247" t="s">
        <v>128</v>
      </c>
      <c r="AE8" s="247">
        <v>50</v>
      </c>
      <c r="AF8" s="248">
        <v>0.72</v>
      </c>
      <c r="AG8" s="247">
        <v>0.32</v>
      </c>
      <c r="AH8" s="446">
        <f>data2!$C7+data2!$B7*T8</f>
        <v>28.35450760870211</v>
      </c>
      <c r="AI8" s="446">
        <f t="shared" si="2"/>
        <v>29.7</v>
      </c>
      <c r="AJ8" s="457">
        <f t="shared" si="3"/>
        <v>-0.04745250419672079</v>
      </c>
      <c r="AK8" s="446">
        <f>IF(I8&gt;=30,data2!B7*'Proposed Spec Lines'!$E$6+data2!C7,IF(G8&gt;=1.1,data2!B7*'Proposed Spec Lines'!$C$6+data2!C7,data2!B7*'Proposed Spec Lines'!$D$6+data2!C7))</f>
        <v>28.814518230865907</v>
      </c>
      <c r="AL8" s="445">
        <f>IF(I8&gt;=30,'Proposed Spec Lines'!$E$6,IF(G8&gt;=1.1,'Proposed Spec Lines'!$C$6,'Proposed Spec Lines'!$D$6))</f>
        <v>200</v>
      </c>
      <c r="AM8" s="446">
        <f t="shared" si="0"/>
        <v>28.814518230865907</v>
      </c>
      <c r="AN8" s="445">
        <f t="shared" si="1"/>
        <v>200</v>
      </c>
      <c r="AO8" s="446">
        <f>IF(O8="Y",'Proposed Spec Lines'!$G$6*AM8+'Proposed Spec Lines'!$G$5*Y8,AM8)</f>
        <v>28.07161458469273</v>
      </c>
      <c r="AP8" s="445">
        <f>IF(O8="Y",'Proposed Spec Lines'!$G$6*AN8+'Proposed Spec Lines'!$G$5*U8,AN8)</f>
        <v>162.22</v>
      </c>
      <c r="AR8" s="458"/>
    </row>
    <row r="9" spans="1:44" ht="11.25">
      <c r="A9" s="447">
        <v>7</v>
      </c>
      <c r="B9" s="277">
        <v>39491</v>
      </c>
      <c r="C9" s="243" t="s">
        <v>118</v>
      </c>
      <c r="D9" s="244" t="s">
        <v>119</v>
      </c>
      <c r="E9" s="242" t="s">
        <v>127</v>
      </c>
      <c r="F9" s="244" t="s">
        <v>3</v>
      </c>
      <c r="G9" s="414">
        <f>VLOOKUP($A9,'Spec Analysis_ScreenSize'!$A$2:$E$142,5,0)</f>
        <v>1.31072</v>
      </c>
      <c r="H9" s="249">
        <v>0.2111111111111111</v>
      </c>
      <c r="I9" s="387">
        <v>19</v>
      </c>
      <c r="J9" s="247">
        <v>15</v>
      </c>
      <c r="K9" s="247">
        <v>12</v>
      </c>
      <c r="L9" s="246">
        <v>180</v>
      </c>
      <c r="M9" s="247"/>
      <c r="N9" s="247" t="s">
        <v>131</v>
      </c>
      <c r="O9" s="242" t="s">
        <v>122</v>
      </c>
      <c r="P9" s="242" t="s">
        <v>122</v>
      </c>
      <c r="Q9" s="242"/>
      <c r="R9" s="242"/>
      <c r="S9" s="242" t="s">
        <v>132</v>
      </c>
      <c r="T9" s="242">
        <v>175</v>
      </c>
      <c r="U9" s="242">
        <v>1.11</v>
      </c>
      <c r="V9" s="242">
        <v>189</v>
      </c>
      <c r="W9" s="242">
        <v>275</v>
      </c>
      <c r="X9" s="242">
        <v>32.73</v>
      </c>
      <c r="Y9" s="242">
        <v>32.66</v>
      </c>
      <c r="Z9" s="242">
        <v>32.73</v>
      </c>
      <c r="AA9" s="242">
        <v>32.89</v>
      </c>
      <c r="AB9" s="242">
        <v>0.99</v>
      </c>
      <c r="AC9" s="242">
        <v>0.82</v>
      </c>
      <c r="AD9" s="247" t="s">
        <v>128</v>
      </c>
      <c r="AE9" s="247">
        <v>50</v>
      </c>
      <c r="AF9" s="248">
        <v>0.7</v>
      </c>
      <c r="AG9" s="247">
        <v>0.48</v>
      </c>
      <c r="AH9" s="446">
        <f>data2!$C8+data2!$B8*T9</f>
        <v>32.763679028625894</v>
      </c>
      <c r="AI9" s="446">
        <f t="shared" si="2"/>
        <v>32.73</v>
      </c>
      <c r="AJ9" s="457">
        <f t="shared" si="3"/>
        <v>0.0010279379368987164</v>
      </c>
      <c r="AK9" s="446">
        <f>IF(I9&gt;=30,data2!B8*'Proposed Spec Lines'!$E$6+data2!C8,IF(G9&gt;=1.1,data2!B8*'Proposed Spec Lines'!$C$6+data2!C8,data2!B8*'Proposed Spec Lines'!$D$6+data2!C8))</f>
        <v>32.7823449638837</v>
      </c>
      <c r="AL9" s="445">
        <f>IF(I9&gt;=30,'Proposed Spec Lines'!$E$6,IF(G9&gt;=1.1,'Proposed Spec Lines'!$C$6,'Proposed Spec Lines'!$D$6))</f>
        <v>200</v>
      </c>
      <c r="AM9" s="445">
        <f aca="true" t="shared" si="4" ref="AM9:AM72">IF($AL9=175,X9,IF($W9&lt;$AL9,$AA9,$AK9))</f>
        <v>32.7823449638837</v>
      </c>
      <c r="AN9" s="445">
        <f aca="true" t="shared" si="5" ref="AN9:AN72">IF($AL9=175,T9,IF($AL9&gt;W9,W9,$AL9))</f>
        <v>200</v>
      </c>
      <c r="AO9" s="446">
        <f>IF(O9="Y",'Proposed Spec Lines'!$G$6*AM9+'Proposed Spec Lines'!$G$5*Y9,AM9)</f>
        <v>32.75787597110696</v>
      </c>
      <c r="AP9" s="445">
        <f>IF(O9="Y",'Proposed Spec Lines'!$G$6*AN9+'Proposed Spec Lines'!$G$5*U9,AN9)</f>
        <v>160.222</v>
      </c>
      <c r="AR9" s="458"/>
    </row>
    <row r="10" spans="1:44" ht="11.25">
      <c r="A10" s="416">
        <v>8</v>
      </c>
      <c r="B10" s="277">
        <v>39491</v>
      </c>
      <c r="C10" s="243" t="s">
        <v>118</v>
      </c>
      <c r="D10" s="244" t="s">
        <v>119</v>
      </c>
      <c r="E10" s="242" t="s">
        <v>127</v>
      </c>
      <c r="F10" s="244" t="s">
        <v>4</v>
      </c>
      <c r="G10" s="414">
        <f>VLOOKUP($A10,'Spec Analysis_ScreenSize'!$A$2:$E$142,5,0)</f>
        <v>1.296</v>
      </c>
      <c r="H10" s="245">
        <v>0.6736111111111112</v>
      </c>
      <c r="I10" s="387">
        <v>19</v>
      </c>
      <c r="J10" s="247">
        <v>16</v>
      </c>
      <c r="K10" s="247">
        <v>9</v>
      </c>
      <c r="L10" s="246">
        <v>144</v>
      </c>
      <c r="M10" s="247"/>
      <c r="N10" s="247" t="s">
        <v>131</v>
      </c>
      <c r="O10" s="242" t="s">
        <v>122</v>
      </c>
      <c r="P10" s="242" t="s">
        <v>122</v>
      </c>
      <c r="Q10" s="242"/>
      <c r="R10" s="242"/>
      <c r="S10" s="242" t="s">
        <v>132</v>
      </c>
      <c r="T10" s="242">
        <v>174</v>
      </c>
      <c r="U10" s="242">
        <v>1.11</v>
      </c>
      <c r="V10" s="242">
        <v>182</v>
      </c>
      <c r="W10" s="242">
        <v>350</v>
      </c>
      <c r="X10" s="242">
        <v>34.72</v>
      </c>
      <c r="Y10" s="242">
        <v>34.67</v>
      </c>
      <c r="Z10" s="242">
        <v>36.34</v>
      </c>
      <c r="AA10" s="242">
        <v>36.8</v>
      </c>
      <c r="AB10" s="242">
        <v>1.02</v>
      </c>
      <c r="AC10" s="242">
        <v>0.84</v>
      </c>
      <c r="AD10" s="247" t="s">
        <v>128</v>
      </c>
      <c r="AE10" s="247">
        <v>50</v>
      </c>
      <c r="AF10" s="248">
        <v>0.7</v>
      </c>
      <c r="AG10" s="247">
        <v>0.48</v>
      </c>
      <c r="AH10" s="446">
        <f>data2!$C9+data2!$B9*T10</f>
        <v>35.615281048750994</v>
      </c>
      <c r="AI10" s="446">
        <f t="shared" si="2"/>
        <v>34.72</v>
      </c>
      <c r="AJ10" s="457">
        <f t="shared" si="3"/>
        <v>0.025137553948416533</v>
      </c>
      <c r="AK10" s="446">
        <f>IF(I10&gt;=30,data2!B9*'Proposed Spec Lines'!$E$6+data2!C9,IF(G10&gt;=1.1,data2!B9*'Proposed Spec Lines'!$C$6+data2!C9,data2!B9*'Proposed Spec Lines'!$D$6+data2!C9))</f>
        <v>35.77646655099194</v>
      </c>
      <c r="AL10" s="445">
        <f>IF(I10&gt;=30,'Proposed Spec Lines'!$E$6,IF(G10&gt;=1.1,'Proposed Spec Lines'!$C$6,'Proposed Spec Lines'!$D$6))</f>
        <v>200</v>
      </c>
      <c r="AM10" s="446">
        <f t="shared" si="4"/>
        <v>35.77646655099194</v>
      </c>
      <c r="AN10" s="445">
        <f t="shared" si="5"/>
        <v>200</v>
      </c>
      <c r="AO10" s="446">
        <f>IF(O10="Y",'Proposed Spec Lines'!$G$6*AM10+'Proposed Spec Lines'!$G$5*Y10,AM10)</f>
        <v>35.55517324079355</v>
      </c>
      <c r="AP10" s="445">
        <f>IF(O10="Y",'Proposed Spec Lines'!$G$6*AN10+'Proposed Spec Lines'!$G$5*U10,AN10)</f>
        <v>160.222</v>
      </c>
      <c r="AR10" s="458"/>
    </row>
    <row r="11" spans="1:44" ht="11.25">
      <c r="A11" s="416">
        <v>9</v>
      </c>
      <c r="B11" s="277">
        <v>39491</v>
      </c>
      <c r="C11" s="243" t="s">
        <v>118</v>
      </c>
      <c r="D11" s="244" t="s">
        <v>119</v>
      </c>
      <c r="E11" s="242" t="s">
        <v>127</v>
      </c>
      <c r="F11" s="244" t="s">
        <v>4</v>
      </c>
      <c r="G11" s="414">
        <f>VLOOKUP($A11,'Spec Analysis_ScreenSize'!$A$2:$E$142,5,0)</f>
        <v>1.296</v>
      </c>
      <c r="H11" s="245">
        <v>0.6736111111111112</v>
      </c>
      <c r="I11" s="387">
        <v>19</v>
      </c>
      <c r="J11" s="247">
        <v>16</v>
      </c>
      <c r="K11" s="247">
        <v>9</v>
      </c>
      <c r="L11" s="246">
        <v>144</v>
      </c>
      <c r="M11" s="247"/>
      <c r="N11" s="247" t="s">
        <v>131</v>
      </c>
      <c r="O11" s="242" t="s">
        <v>122</v>
      </c>
      <c r="P11" s="242" t="s">
        <v>122</v>
      </c>
      <c r="Q11" s="242"/>
      <c r="R11" s="242"/>
      <c r="S11" s="242" t="s">
        <v>133</v>
      </c>
      <c r="T11" s="242">
        <v>175</v>
      </c>
      <c r="U11" s="242">
        <v>2.6</v>
      </c>
      <c r="V11" s="242">
        <v>155</v>
      </c>
      <c r="W11" s="242">
        <v>282</v>
      </c>
      <c r="X11" s="242">
        <v>31.8</v>
      </c>
      <c r="Y11" s="242">
        <v>27.7</v>
      </c>
      <c r="Z11" s="242">
        <v>30.8</v>
      </c>
      <c r="AA11" s="242">
        <v>33.1</v>
      </c>
      <c r="AB11" s="242">
        <v>1.1</v>
      </c>
      <c r="AC11" s="242">
        <v>0.91</v>
      </c>
      <c r="AD11" s="247" t="s">
        <v>128</v>
      </c>
      <c r="AE11" s="247">
        <v>50</v>
      </c>
      <c r="AF11" s="248">
        <v>0.7</v>
      </c>
      <c r="AG11" s="247">
        <v>0.48</v>
      </c>
      <c r="AH11" s="446">
        <f>data2!$C10+data2!$B10*T11</f>
        <v>31.271553711468933</v>
      </c>
      <c r="AI11" s="446">
        <f t="shared" si="2"/>
        <v>31.8</v>
      </c>
      <c r="AJ11" s="457">
        <f t="shared" si="3"/>
        <v>-0.0168986259335512</v>
      </c>
      <c r="AK11" s="446">
        <f>IF(I11&gt;=30,data2!B10*'Proposed Spec Lines'!$E$6+data2!C10,IF(G11&gt;=1.1,data2!B10*'Proposed Spec Lines'!$C$6+data2!C10,data2!B10*'Proposed Spec Lines'!$D$6+data2!C10))</f>
        <v>31.76517632443021</v>
      </c>
      <c r="AL11" s="445">
        <f>IF(I11&gt;=30,'Proposed Spec Lines'!$E$6,IF(G11&gt;=1.1,'Proposed Spec Lines'!$C$6,'Proposed Spec Lines'!$D$6))</f>
        <v>200</v>
      </c>
      <c r="AM11" s="446">
        <f t="shared" si="4"/>
        <v>31.76517632443021</v>
      </c>
      <c r="AN11" s="445">
        <f t="shared" si="5"/>
        <v>200</v>
      </c>
      <c r="AO11" s="446">
        <f>IF(O11="Y",'Proposed Spec Lines'!$G$6*AM11+'Proposed Spec Lines'!$G$5*Y11,AM11)</f>
        <v>30.952141059544168</v>
      </c>
      <c r="AP11" s="445">
        <f>IF(O11="Y",'Proposed Spec Lines'!$G$6*AN11+'Proposed Spec Lines'!$G$5*U11,AN11)</f>
        <v>160.52</v>
      </c>
      <c r="AR11" s="458"/>
    </row>
    <row r="12" spans="1:44" ht="11.25">
      <c r="A12" s="447">
        <v>10</v>
      </c>
      <c r="B12" s="277">
        <v>39493</v>
      </c>
      <c r="C12" s="250" t="s">
        <v>118</v>
      </c>
      <c r="D12" s="244" t="s">
        <v>119</v>
      </c>
      <c r="E12" s="242" t="s">
        <v>127</v>
      </c>
      <c r="F12" s="244" t="s">
        <v>2</v>
      </c>
      <c r="G12" s="414">
        <f>VLOOKUP($A12,'Spec Analysis_ScreenSize'!$A$2:$E$142,5,0)</f>
        <v>1.764</v>
      </c>
      <c r="H12" s="249">
        <v>0.6736111111111112</v>
      </c>
      <c r="I12" s="387">
        <v>22</v>
      </c>
      <c r="J12" s="247">
        <v>19</v>
      </c>
      <c r="K12" s="247">
        <v>12</v>
      </c>
      <c r="L12" s="246">
        <v>228</v>
      </c>
      <c r="M12" s="247"/>
      <c r="N12" s="247" t="s">
        <v>131</v>
      </c>
      <c r="O12" s="242" t="s">
        <v>122</v>
      </c>
      <c r="P12" s="242" t="s">
        <v>122</v>
      </c>
      <c r="Q12" s="242"/>
      <c r="R12" s="247"/>
      <c r="S12" s="242" t="s">
        <v>132</v>
      </c>
      <c r="T12" s="242">
        <v>176</v>
      </c>
      <c r="U12" s="242">
        <v>1.14</v>
      </c>
      <c r="V12" s="242">
        <v>180</v>
      </c>
      <c r="W12" s="242">
        <v>325</v>
      </c>
      <c r="X12" s="242">
        <v>41.536</v>
      </c>
      <c r="Y12" s="242">
        <v>41.39</v>
      </c>
      <c r="Z12" s="242">
        <v>41.67</v>
      </c>
      <c r="AA12" s="242">
        <v>43</v>
      </c>
      <c r="AB12" s="242">
        <v>0.9</v>
      </c>
      <c r="AC12" s="242">
        <v>0.74</v>
      </c>
      <c r="AD12" s="247"/>
      <c r="AE12" s="247"/>
      <c r="AF12" s="247"/>
      <c r="AG12" s="247"/>
      <c r="AH12" s="446">
        <f>data2!$C11+data2!$B11*T12</f>
        <v>41.925159754965236</v>
      </c>
      <c r="AI12" s="446">
        <f t="shared" si="2"/>
        <v>41.536</v>
      </c>
      <c r="AJ12" s="457">
        <f t="shared" si="3"/>
        <v>0.00928224858866867</v>
      </c>
      <c r="AK12" s="446">
        <f>IF(I12&gt;=30,data2!B11*'Proposed Spec Lines'!$E$6+data2!C11,IF(G12&gt;=1.1,data2!B11*'Proposed Spec Lines'!$C$6+data2!C11,data2!B11*'Proposed Spec Lines'!$D$6+data2!C11))</f>
        <v>42.040042484913215</v>
      </c>
      <c r="AL12" s="445">
        <f>IF(I12&gt;=30,'Proposed Spec Lines'!$E$6,IF(G12&gt;=1.1,'Proposed Spec Lines'!$C$6,'Proposed Spec Lines'!$D$6))</f>
        <v>200</v>
      </c>
      <c r="AM12" s="446">
        <f t="shared" si="4"/>
        <v>42.040042484913215</v>
      </c>
      <c r="AN12" s="445">
        <f t="shared" si="5"/>
        <v>200</v>
      </c>
      <c r="AO12" s="446">
        <f>IF(O12="Y",'Proposed Spec Lines'!$G$6*AM12+'Proposed Spec Lines'!$G$5*Y12,AM12)</f>
        <v>41.910033987930575</v>
      </c>
      <c r="AP12" s="445">
        <f>IF(O12="Y",'Proposed Spec Lines'!$G$6*AN12+'Proposed Spec Lines'!$G$5*U12,AN12)</f>
        <v>160.228</v>
      </c>
      <c r="AR12" s="458"/>
    </row>
    <row r="13" spans="1:44" ht="11.25">
      <c r="A13" s="416">
        <v>11</v>
      </c>
      <c r="B13" s="277">
        <v>39494</v>
      </c>
      <c r="C13" s="250" t="s">
        <v>118</v>
      </c>
      <c r="D13" s="244" t="s">
        <v>119</v>
      </c>
      <c r="E13" s="242" t="s">
        <v>120</v>
      </c>
      <c r="F13" s="244" t="s">
        <v>1</v>
      </c>
      <c r="G13" s="414">
        <f>VLOOKUP($A13,'Spec Analysis_ScreenSize'!$A$2:$E$142,5,0)</f>
        <v>2.304</v>
      </c>
      <c r="H13" s="249">
        <v>0.6736111111111112</v>
      </c>
      <c r="I13" s="387">
        <v>24</v>
      </c>
      <c r="J13" s="247">
        <v>20.49</v>
      </c>
      <c r="K13" s="247">
        <v>12.81</v>
      </c>
      <c r="L13" s="246">
        <v>262.4769</v>
      </c>
      <c r="M13" s="247"/>
      <c r="N13" s="247" t="s">
        <v>131</v>
      </c>
      <c r="O13" s="242" t="s">
        <v>122</v>
      </c>
      <c r="P13" s="242" t="s">
        <v>123</v>
      </c>
      <c r="Q13" s="242"/>
      <c r="R13" s="247"/>
      <c r="S13" s="242" t="s">
        <v>132</v>
      </c>
      <c r="T13" s="242">
        <v>174</v>
      </c>
      <c r="U13" s="242">
        <v>16.8</v>
      </c>
      <c r="V13" s="242">
        <v>154</v>
      </c>
      <c r="W13" s="242">
        <v>310</v>
      </c>
      <c r="X13" s="242">
        <v>65.2</v>
      </c>
      <c r="Y13" s="242">
        <v>47.6</v>
      </c>
      <c r="Z13" s="242">
        <v>58.6</v>
      </c>
      <c r="AA13" s="242">
        <v>65.7</v>
      </c>
      <c r="AB13" s="242">
        <v>0.8</v>
      </c>
      <c r="AC13" s="242">
        <v>0.7</v>
      </c>
      <c r="AD13" s="247"/>
      <c r="AE13" s="247"/>
      <c r="AF13" s="247"/>
      <c r="AG13" s="247"/>
      <c r="AH13" s="422">
        <f>data2!$C12+data2!$B12*T13</f>
        <v>59.92438914140316</v>
      </c>
      <c r="AI13" s="422">
        <f t="shared" si="2"/>
        <v>65.2</v>
      </c>
      <c r="AJ13" s="423">
        <f t="shared" si="3"/>
        <v>-0.08803779119296519</v>
      </c>
      <c r="AK13" s="446">
        <f>IF(I13&gt;=30,data2!B12*'Proposed Spec Lines'!$E$6+data2!C12,IF(G13&gt;=1.1,data2!B12*'Proposed Spec Lines'!$C$6+data2!C12,data2!B12*'Proposed Spec Lines'!$D$6+data2!C12))</f>
        <v>61.56362386727518</v>
      </c>
      <c r="AL13" s="445">
        <f>IF(I13&gt;=30,'Proposed Spec Lines'!$E$6,IF(G13&gt;=1.1,'Proposed Spec Lines'!$C$6,'Proposed Spec Lines'!$D$6))</f>
        <v>200</v>
      </c>
      <c r="AM13" s="446">
        <f t="shared" si="4"/>
        <v>61.56362386727518</v>
      </c>
      <c r="AN13" s="445">
        <f t="shared" si="5"/>
        <v>200</v>
      </c>
      <c r="AO13" s="446">
        <f>IF(O13="Y",'Proposed Spec Lines'!$G$6*AM13+'Proposed Spec Lines'!$G$5*Y13,AM13)</f>
        <v>58.770899093820155</v>
      </c>
      <c r="AP13" s="445">
        <f>IF(O13="Y",'Proposed Spec Lines'!$G$6*AN13+'Proposed Spec Lines'!$G$5*U13,AN13)</f>
        <v>163.36</v>
      </c>
      <c r="AR13" s="458"/>
    </row>
    <row r="14" spans="1:44" ht="11.25">
      <c r="A14" s="416">
        <v>12</v>
      </c>
      <c r="B14" s="277">
        <v>39490</v>
      </c>
      <c r="C14" s="243" t="s">
        <v>118</v>
      </c>
      <c r="D14" s="244" t="s">
        <v>119</v>
      </c>
      <c r="E14" s="242" t="s">
        <v>127</v>
      </c>
      <c r="F14" s="244" t="s">
        <v>3</v>
      </c>
      <c r="G14" s="414">
        <f>VLOOKUP($A14,'Spec Analysis_ScreenSize'!$A$2:$E$142,5,0)</f>
        <v>1.31072</v>
      </c>
      <c r="H14" s="245">
        <v>0.16875</v>
      </c>
      <c r="I14" s="388">
        <v>17</v>
      </c>
      <c r="J14" s="242">
        <v>13</v>
      </c>
      <c r="K14" s="242">
        <v>11</v>
      </c>
      <c r="L14" s="246">
        <v>143</v>
      </c>
      <c r="M14" s="247"/>
      <c r="N14" s="247" t="s">
        <v>131</v>
      </c>
      <c r="O14" s="242" t="s">
        <v>122</v>
      </c>
      <c r="P14" s="242" t="s">
        <v>122</v>
      </c>
      <c r="Q14" s="242"/>
      <c r="R14" s="242"/>
      <c r="S14" s="242" t="s">
        <v>132</v>
      </c>
      <c r="T14" s="242">
        <v>176</v>
      </c>
      <c r="U14" s="242">
        <v>1.12</v>
      </c>
      <c r="V14" s="242">
        <v>149</v>
      </c>
      <c r="W14" s="242">
        <v>300</v>
      </c>
      <c r="X14" s="242">
        <v>28.55</v>
      </c>
      <c r="Y14" s="242">
        <v>27.49</v>
      </c>
      <c r="Z14" s="242">
        <v>29.21</v>
      </c>
      <c r="AA14" s="242">
        <v>29.81</v>
      </c>
      <c r="AB14" s="242">
        <v>0.56</v>
      </c>
      <c r="AC14" s="242">
        <v>0.5</v>
      </c>
      <c r="AD14" s="247"/>
      <c r="AE14" s="247"/>
      <c r="AF14" s="247"/>
      <c r="AG14" s="247"/>
      <c r="AH14" s="446">
        <f>data2!$C13+data2!$B13*T14</f>
        <v>28.911778995263997</v>
      </c>
      <c r="AI14" s="446">
        <f t="shared" si="2"/>
        <v>28.55</v>
      </c>
      <c r="AJ14" s="457">
        <f t="shared" si="3"/>
        <v>0.012513204231509215</v>
      </c>
      <c r="AK14" s="446">
        <f>IF(I14&gt;=30,data2!B13*'Proposed Spec Lines'!$E$6+data2!C13,IF(G14&gt;=1.1,data2!B13*'Proposed Spec Lines'!$C$6+data2!C13,data2!B13*'Proposed Spec Lines'!$D$6+data2!C13))</f>
        <v>29.09270841931823</v>
      </c>
      <c r="AL14" s="445">
        <f>IF(I14&gt;=30,'Proposed Spec Lines'!$E$6,IF(G14&gt;=1.1,'Proposed Spec Lines'!$C$6,'Proposed Spec Lines'!$D$6))</f>
        <v>200</v>
      </c>
      <c r="AM14" s="446">
        <f t="shared" si="4"/>
        <v>29.09270841931823</v>
      </c>
      <c r="AN14" s="445">
        <f t="shared" si="5"/>
        <v>200</v>
      </c>
      <c r="AO14" s="446">
        <f>IF(O14="Y",'Proposed Spec Lines'!$G$6*AM14+'Proposed Spec Lines'!$G$5*Y14,AM14)</f>
        <v>28.772166735454586</v>
      </c>
      <c r="AP14" s="445">
        <f>IF(O14="Y",'Proposed Spec Lines'!$G$6*AN14+'Proposed Spec Lines'!$G$5*U14,AN14)</f>
        <v>160.224</v>
      </c>
      <c r="AR14" s="458"/>
    </row>
    <row r="15" spans="1:44" ht="11.25">
      <c r="A15" s="447">
        <v>13</v>
      </c>
      <c r="B15" s="277">
        <v>39490</v>
      </c>
      <c r="C15" s="243" t="s">
        <v>118</v>
      </c>
      <c r="D15" s="244" t="s">
        <v>119</v>
      </c>
      <c r="E15" s="242" t="s">
        <v>127</v>
      </c>
      <c r="F15" s="244" t="s">
        <v>15</v>
      </c>
      <c r="G15" s="414">
        <f>VLOOKUP($A15,'Spec Analysis_ScreenSize'!$A$2:$E$142,5,0)</f>
        <v>0.9216</v>
      </c>
      <c r="H15" s="245">
        <v>0.6736111111111112</v>
      </c>
      <c r="I15" s="388">
        <v>17</v>
      </c>
      <c r="J15" s="242">
        <v>15</v>
      </c>
      <c r="K15" s="242">
        <v>8</v>
      </c>
      <c r="L15" s="246">
        <v>120</v>
      </c>
      <c r="M15" s="247"/>
      <c r="N15" s="247" t="s">
        <v>131</v>
      </c>
      <c r="O15" s="242" t="s">
        <v>122</v>
      </c>
      <c r="P15" s="242" t="s">
        <v>123</v>
      </c>
      <c r="Q15" s="242"/>
      <c r="R15" s="242"/>
      <c r="S15" s="242" t="s">
        <v>132</v>
      </c>
      <c r="T15" s="242">
        <v>178</v>
      </c>
      <c r="U15" s="242">
        <v>1.1</v>
      </c>
      <c r="V15" s="242">
        <v>153</v>
      </c>
      <c r="W15" s="242">
        <v>225</v>
      </c>
      <c r="X15" s="242">
        <v>19.8</v>
      </c>
      <c r="Y15" s="242">
        <v>19.71</v>
      </c>
      <c r="Z15" s="242">
        <v>20</v>
      </c>
      <c r="AA15" s="242">
        <v>20.54</v>
      </c>
      <c r="AB15" s="242">
        <v>1.09</v>
      </c>
      <c r="AC15" s="242">
        <v>1.06</v>
      </c>
      <c r="AD15" s="247"/>
      <c r="AE15" s="247"/>
      <c r="AF15" s="247"/>
      <c r="AG15" s="247"/>
      <c r="AH15" s="446">
        <f>data2!$C14+data2!$B14*T15</f>
        <v>20.12073141140365</v>
      </c>
      <c r="AI15" s="446">
        <f t="shared" si="2"/>
        <v>19.8</v>
      </c>
      <c r="AJ15" s="457">
        <f t="shared" si="3"/>
        <v>0.015940345549360652</v>
      </c>
      <c r="AK15" s="446">
        <f>IF(I15&gt;=30,data2!B14*'Proposed Spec Lines'!$E$6+data2!C14,IF(G15&gt;=1.1,data2!B14*'Proposed Spec Lines'!$C$6+data2!C14,data2!B14*'Proposed Spec Lines'!$D$6+data2!C14))</f>
        <v>20.112346795930158</v>
      </c>
      <c r="AL15" s="445">
        <f>IF(I15&gt;=30,'Proposed Spec Lines'!$E$6,IF(G15&gt;=1.1,'Proposed Spec Lines'!$C$6,'Proposed Spec Lines'!$D$6))</f>
        <v>175</v>
      </c>
      <c r="AM15" s="446">
        <f t="shared" si="4"/>
        <v>19.8</v>
      </c>
      <c r="AN15" s="445">
        <f t="shared" si="5"/>
        <v>178</v>
      </c>
      <c r="AO15" s="446">
        <f>IF(O15="Y",'Proposed Spec Lines'!$G$6*AM15+'Proposed Spec Lines'!$G$5*Y15,AM15)</f>
        <v>19.782000000000004</v>
      </c>
      <c r="AP15" s="445">
        <f>IF(O15="Y",'Proposed Spec Lines'!$G$6*AN15+'Proposed Spec Lines'!$G$5*U15,AN15)</f>
        <v>142.62</v>
      </c>
      <c r="AR15" s="458"/>
    </row>
    <row r="16" spans="1:44" ht="11.25">
      <c r="A16" s="416">
        <v>14</v>
      </c>
      <c r="B16" s="277">
        <v>39492</v>
      </c>
      <c r="C16" s="243" t="s">
        <v>118</v>
      </c>
      <c r="D16" s="244" t="s">
        <v>119</v>
      </c>
      <c r="E16" s="242" t="s">
        <v>127</v>
      </c>
      <c r="F16" s="244" t="s">
        <v>3</v>
      </c>
      <c r="G16" s="414">
        <f>VLOOKUP($A16,'Spec Analysis_ScreenSize'!$A$2:$E$142,5,0)</f>
        <v>1.31072</v>
      </c>
      <c r="H16" s="249">
        <v>0.2111111111111111</v>
      </c>
      <c r="I16" s="387">
        <v>19</v>
      </c>
      <c r="J16" s="247">
        <v>15</v>
      </c>
      <c r="K16" s="247">
        <v>12</v>
      </c>
      <c r="L16" s="246">
        <v>180</v>
      </c>
      <c r="M16" s="247"/>
      <c r="N16" s="247" t="s">
        <v>131</v>
      </c>
      <c r="O16" s="242" t="s">
        <v>122</v>
      </c>
      <c r="P16" s="242" t="s">
        <v>123</v>
      </c>
      <c r="Q16" s="242"/>
      <c r="R16" s="247"/>
      <c r="S16" s="242" t="s">
        <v>132</v>
      </c>
      <c r="T16" s="242">
        <v>175</v>
      </c>
      <c r="U16" s="242">
        <v>1.15</v>
      </c>
      <c r="V16" s="242">
        <v>187</v>
      </c>
      <c r="W16" s="242">
        <v>275</v>
      </c>
      <c r="X16" s="242">
        <v>36.34</v>
      </c>
      <c r="Y16" s="242">
        <v>35.97</v>
      </c>
      <c r="Z16" s="242">
        <v>36.3</v>
      </c>
      <c r="AA16" s="242">
        <v>37.98</v>
      </c>
      <c r="AB16" s="242">
        <v>1.33</v>
      </c>
      <c r="AC16" s="242">
        <v>1.07</v>
      </c>
      <c r="AD16" s="247"/>
      <c r="AE16" s="247"/>
      <c r="AF16" s="247"/>
      <c r="AG16" s="247"/>
      <c r="AH16" s="446">
        <f>data2!$C15+data2!$B15*T16</f>
        <v>36.74435315565756</v>
      </c>
      <c r="AI16" s="446">
        <f t="shared" si="2"/>
        <v>36.34</v>
      </c>
      <c r="AJ16" s="457">
        <f t="shared" si="3"/>
        <v>0.011004497859701784</v>
      </c>
      <c r="AK16" s="446">
        <f>IF(I16&gt;=30,data2!B15*'Proposed Spec Lines'!$E$6+data2!C15,IF(G16&gt;=1.1,data2!B15*'Proposed Spec Lines'!$C$6+data2!C15,data2!B15*'Proposed Spec Lines'!$D$6+data2!C15))</f>
        <v>36.90094677838605</v>
      </c>
      <c r="AL16" s="445">
        <f>IF(I16&gt;=30,'Proposed Spec Lines'!$E$6,IF(G16&gt;=1.1,'Proposed Spec Lines'!$C$6,'Proposed Spec Lines'!$D$6))</f>
        <v>200</v>
      </c>
      <c r="AM16" s="446">
        <f t="shared" si="4"/>
        <v>36.90094677838605</v>
      </c>
      <c r="AN16" s="445">
        <f t="shared" si="5"/>
        <v>200</v>
      </c>
      <c r="AO16" s="446">
        <f>IF(O16="Y",'Proposed Spec Lines'!$G$6*AM16+'Proposed Spec Lines'!$G$5*Y16,AM16)</f>
        <v>36.71475742270884</v>
      </c>
      <c r="AP16" s="445">
        <f>IF(O16="Y",'Proposed Spec Lines'!$G$6*AN16+'Proposed Spec Lines'!$G$5*U16,AN16)</f>
        <v>160.23</v>
      </c>
      <c r="AR16" s="458"/>
    </row>
    <row r="17" spans="1:44" ht="11.25">
      <c r="A17" s="416">
        <v>15</v>
      </c>
      <c r="B17" s="277">
        <v>39491</v>
      </c>
      <c r="C17" s="243" t="s">
        <v>118</v>
      </c>
      <c r="D17" s="244" t="s">
        <v>119</v>
      </c>
      <c r="E17" s="242" t="s">
        <v>127</v>
      </c>
      <c r="F17" s="244" t="s">
        <v>4</v>
      </c>
      <c r="G17" s="414">
        <f>VLOOKUP($A17,'Spec Analysis_ScreenSize'!$A$2:$E$142,5,0)</f>
        <v>1.296</v>
      </c>
      <c r="H17" s="249">
        <v>0.6736111111111112</v>
      </c>
      <c r="I17" s="387">
        <v>19</v>
      </c>
      <c r="J17" s="247">
        <v>16</v>
      </c>
      <c r="K17" s="247">
        <v>9</v>
      </c>
      <c r="L17" s="246">
        <v>144</v>
      </c>
      <c r="M17" s="247"/>
      <c r="N17" s="247" t="s">
        <v>131</v>
      </c>
      <c r="O17" s="242" t="s">
        <v>122</v>
      </c>
      <c r="P17" s="242" t="s">
        <v>122</v>
      </c>
      <c r="Q17" s="242"/>
      <c r="R17" s="242"/>
      <c r="S17" s="242" t="s">
        <v>132</v>
      </c>
      <c r="T17" s="242">
        <v>173</v>
      </c>
      <c r="U17" s="242">
        <v>4.2</v>
      </c>
      <c r="V17" s="242">
        <v>201</v>
      </c>
      <c r="W17" s="242">
        <v>263</v>
      </c>
      <c r="X17" s="242">
        <v>33.6</v>
      </c>
      <c r="Y17" s="242">
        <v>28.3</v>
      </c>
      <c r="Z17" s="242">
        <v>32.4</v>
      </c>
      <c r="AA17" s="242">
        <v>34.4</v>
      </c>
      <c r="AB17" s="242">
        <v>0.6</v>
      </c>
      <c r="AC17" s="242">
        <v>0.5</v>
      </c>
      <c r="AD17" s="247"/>
      <c r="AE17" s="247"/>
      <c r="AF17" s="247"/>
      <c r="AG17" s="247"/>
      <c r="AH17" s="446">
        <f>data2!$C16+data2!$B16*T17</f>
        <v>32.472565383907565</v>
      </c>
      <c r="AI17" s="446">
        <f t="shared" si="2"/>
        <v>33.6</v>
      </c>
      <c r="AJ17" s="457">
        <f t="shared" si="3"/>
        <v>-0.03471960415702665</v>
      </c>
      <c r="AK17" s="446">
        <f>IF(I17&gt;=30,data2!B16*'Proposed Spec Lines'!$E$6+data2!C16,IF(G17&gt;=1.1,data2!B16*'Proposed Spec Lines'!$C$6+data2!C16,data2!B16*'Proposed Spec Lines'!$D$6+data2!C16))</f>
        <v>33.105184704025994</v>
      </c>
      <c r="AL17" s="445">
        <f>IF(I17&gt;=30,'Proposed Spec Lines'!$E$6,IF(G17&gt;=1.1,'Proposed Spec Lines'!$C$6,'Proposed Spec Lines'!$D$6))</f>
        <v>200</v>
      </c>
      <c r="AM17" s="446">
        <f t="shared" si="4"/>
        <v>33.105184704025994</v>
      </c>
      <c r="AN17" s="445">
        <f t="shared" si="5"/>
        <v>200</v>
      </c>
      <c r="AO17" s="446">
        <f>IF(O17="Y",'Proposed Spec Lines'!$G$6*AM17+'Proposed Spec Lines'!$G$5*Y17,AM17)</f>
        <v>32.1441477632208</v>
      </c>
      <c r="AP17" s="445">
        <f>IF(O17="Y",'Proposed Spec Lines'!$G$6*AN17+'Proposed Spec Lines'!$G$5*U17,AN17)</f>
        <v>160.84</v>
      </c>
      <c r="AR17" s="458"/>
    </row>
    <row r="18" spans="1:44" ht="11.25">
      <c r="A18" s="447">
        <v>16</v>
      </c>
      <c r="B18" s="278">
        <v>39379</v>
      </c>
      <c r="C18" s="281" t="s">
        <v>118</v>
      </c>
      <c r="D18" s="244" t="s">
        <v>119</v>
      </c>
      <c r="E18" s="280" t="s">
        <v>120</v>
      </c>
      <c r="F18" s="280" t="s">
        <v>1</v>
      </c>
      <c r="G18" s="414">
        <f>VLOOKUP($A18,'Spec Analysis_ScreenSize'!$A$2:$E$142,5,0)</f>
        <v>2.304</v>
      </c>
      <c r="H18" s="282">
        <v>0.3368055555555556</v>
      </c>
      <c r="I18" s="389">
        <v>27</v>
      </c>
      <c r="J18" s="283">
        <v>22.9</v>
      </c>
      <c r="K18" s="283">
        <v>14.3</v>
      </c>
      <c r="L18" s="246">
        <v>327.47</v>
      </c>
      <c r="M18" s="279" t="s">
        <v>134</v>
      </c>
      <c r="N18" s="279" t="s">
        <v>135</v>
      </c>
      <c r="O18" s="280" t="s">
        <v>122</v>
      </c>
      <c r="P18" s="280" t="s">
        <v>123</v>
      </c>
      <c r="Q18" s="280"/>
      <c r="R18" s="280" t="s">
        <v>136</v>
      </c>
      <c r="S18" s="280" t="s">
        <v>135</v>
      </c>
      <c r="T18" s="280">
        <v>175</v>
      </c>
      <c r="U18" s="280">
        <v>118</v>
      </c>
      <c r="V18" s="280">
        <v>365</v>
      </c>
      <c r="W18" s="280">
        <v>365</v>
      </c>
      <c r="X18" s="280">
        <v>66.5</v>
      </c>
      <c r="Y18" s="280">
        <v>50.3</v>
      </c>
      <c r="Z18" s="280">
        <v>94.2</v>
      </c>
      <c r="AA18" s="280">
        <v>94.2</v>
      </c>
      <c r="AB18" s="280">
        <v>1.4</v>
      </c>
      <c r="AC18" s="280">
        <v>0.7</v>
      </c>
      <c r="AD18" s="279"/>
      <c r="AE18" s="279"/>
      <c r="AF18" s="279"/>
      <c r="AG18" s="279"/>
      <c r="AH18" s="446">
        <f>data2!$C17+data2!$B17*T18</f>
        <v>62.74972577696526</v>
      </c>
      <c r="AI18" s="446">
        <f t="shared" si="2"/>
        <v>66.5</v>
      </c>
      <c r="AJ18" s="457">
        <f t="shared" si="3"/>
        <v>-0.059765587444390415</v>
      </c>
      <c r="AK18" s="446">
        <f>IF(I18&gt;=30,data2!B17*'Proposed Spec Lines'!$E$6+data2!C17,IF(G18&gt;=1.1,data2!B17*'Proposed Spec Lines'!$C$6+data2!C17,data2!B17*'Proposed Spec Lines'!$D$6+data2!C17))</f>
        <v>66.94485711536612</v>
      </c>
      <c r="AL18" s="445">
        <f>IF(I18&gt;=30,'Proposed Spec Lines'!$E$6,IF(G18&gt;=1.1,'Proposed Spec Lines'!$C$6,'Proposed Spec Lines'!$D$6))</f>
        <v>200</v>
      </c>
      <c r="AM18" s="446">
        <f t="shared" si="4"/>
        <v>66.94485711536612</v>
      </c>
      <c r="AN18" s="445">
        <f t="shared" si="5"/>
        <v>200</v>
      </c>
      <c r="AO18" s="446">
        <f>IF(O18="Y",'Proposed Spec Lines'!$G$6*AM18+'Proposed Spec Lines'!$G$5*Y18,AM18)</f>
        <v>63.6158856922929</v>
      </c>
      <c r="AP18" s="445">
        <f>IF(O18="Y",'Proposed Spec Lines'!$G$6*AN18+'Proposed Spec Lines'!$G$5*U18,AN18)</f>
        <v>183.6</v>
      </c>
      <c r="AR18" s="458"/>
    </row>
    <row r="19" spans="1:44" ht="11.25">
      <c r="A19" s="416">
        <v>17</v>
      </c>
      <c r="B19" s="284" t="s">
        <v>137</v>
      </c>
      <c r="C19" s="243" t="s">
        <v>118</v>
      </c>
      <c r="D19" s="258" t="s">
        <v>119</v>
      </c>
      <c r="E19" s="242" t="s">
        <v>120</v>
      </c>
      <c r="F19" s="242" t="s">
        <v>16</v>
      </c>
      <c r="G19" s="414">
        <f>VLOOKUP($A19,'Spec Analysis_ScreenSize'!$A$2:$E$142,5,0)</f>
        <v>2.304</v>
      </c>
      <c r="H19" s="249">
        <v>0.3368055555555556</v>
      </c>
      <c r="I19" s="388">
        <v>24.1</v>
      </c>
      <c r="J19" s="247">
        <v>20.41</v>
      </c>
      <c r="K19" s="247">
        <v>12.76</v>
      </c>
      <c r="L19" s="246">
        <v>260.4316</v>
      </c>
      <c r="M19" s="242" t="s">
        <v>138</v>
      </c>
      <c r="N19" s="247" t="s">
        <v>125</v>
      </c>
      <c r="O19" s="242" t="s">
        <v>122</v>
      </c>
      <c r="P19" s="242" t="s">
        <v>122</v>
      </c>
      <c r="Q19" s="242" t="s">
        <v>123</v>
      </c>
      <c r="R19" s="242" t="s">
        <v>138</v>
      </c>
      <c r="S19" s="242" t="s">
        <v>138</v>
      </c>
      <c r="T19" s="242">
        <v>175</v>
      </c>
      <c r="U19" s="242">
        <v>45.5</v>
      </c>
      <c r="V19" s="242">
        <v>191.5</v>
      </c>
      <c r="W19" s="242">
        <v>310.2</v>
      </c>
      <c r="X19" s="242">
        <v>59.8</v>
      </c>
      <c r="Y19" s="242">
        <v>30.7</v>
      </c>
      <c r="Z19" s="242">
        <v>61.9</v>
      </c>
      <c r="AA19" s="242">
        <v>84.8</v>
      </c>
      <c r="AB19" s="242">
        <v>1.6</v>
      </c>
      <c r="AC19" s="242">
        <v>0.77</v>
      </c>
      <c r="AD19" s="247"/>
      <c r="AE19" s="247"/>
      <c r="AF19" s="247"/>
      <c r="AG19" s="247"/>
      <c r="AH19" s="446">
        <f>data2!$C18+data2!$B18*T19</f>
        <v>58.16563339794813</v>
      </c>
      <c r="AI19" s="446">
        <f t="shared" si="2"/>
        <v>59.8</v>
      </c>
      <c r="AJ19" s="457">
        <f t="shared" si="3"/>
        <v>-0.028098492298194833</v>
      </c>
      <c r="AK19" s="446">
        <f>IF(I19&gt;=30,data2!B18*'Proposed Spec Lines'!$E$6+data2!C18,IF(G19&gt;=1.1,data2!B18*'Proposed Spec Lines'!$C$6+data2!C18,data2!B18*'Proposed Spec Lines'!$D$6+data2!C18))</f>
        <v>63.27539286665021</v>
      </c>
      <c r="AL19" s="445">
        <f>IF(I19&gt;=30,'Proposed Spec Lines'!$E$6,IF(G19&gt;=1.1,'Proposed Spec Lines'!$C$6,'Proposed Spec Lines'!$D$6))</f>
        <v>200</v>
      </c>
      <c r="AM19" s="446">
        <f t="shared" si="4"/>
        <v>63.27539286665021</v>
      </c>
      <c r="AN19" s="445">
        <f t="shared" si="5"/>
        <v>200</v>
      </c>
      <c r="AO19" s="446">
        <f>IF(O19="Y",'Proposed Spec Lines'!$G$6*AM19+'Proposed Spec Lines'!$G$5*Y19,AM19)</f>
        <v>56.76031429332017</v>
      </c>
      <c r="AP19" s="445">
        <f>IF(O19="Y",'Proposed Spec Lines'!$G$6*AN19+'Proposed Spec Lines'!$G$5*U19,AN19)</f>
        <v>169.1</v>
      </c>
      <c r="AR19" s="458"/>
    </row>
    <row r="20" spans="1:44" ht="11.25">
      <c r="A20" s="416">
        <v>18</v>
      </c>
      <c r="B20" s="284" t="s">
        <v>137</v>
      </c>
      <c r="C20" s="243" t="s">
        <v>118</v>
      </c>
      <c r="D20" s="258" t="s">
        <v>119</v>
      </c>
      <c r="E20" s="242" t="s">
        <v>127</v>
      </c>
      <c r="F20" s="247" t="s">
        <v>2</v>
      </c>
      <c r="G20" s="414">
        <f>VLOOKUP($A20,'Spec Analysis_ScreenSize'!$A$2:$E$142,5,0)</f>
        <v>1.764</v>
      </c>
      <c r="H20" s="249">
        <v>0.3368055555555556</v>
      </c>
      <c r="I20" s="387">
        <v>20.1</v>
      </c>
      <c r="J20" s="247">
        <v>17.13</v>
      </c>
      <c r="K20" s="247">
        <v>10.71</v>
      </c>
      <c r="L20" s="246">
        <v>183.4623</v>
      </c>
      <c r="M20" s="242" t="s">
        <v>138</v>
      </c>
      <c r="N20" s="247" t="s">
        <v>125</v>
      </c>
      <c r="O20" s="242" t="s">
        <v>122</v>
      </c>
      <c r="P20" s="242" t="s">
        <v>122</v>
      </c>
      <c r="Q20" s="242" t="s">
        <v>123</v>
      </c>
      <c r="R20" s="242" t="s">
        <v>136</v>
      </c>
      <c r="S20" s="247" t="s">
        <v>138</v>
      </c>
      <c r="T20" s="242">
        <v>175</v>
      </c>
      <c r="U20" s="247">
        <v>50.39</v>
      </c>
      <c r="V20" s="247">
        <v>264.5</v>
      </c>
      <c r="W20" s="247">
        <v>264.5</v>
      </c>
      <c r="X20" s="242">
        <v>29.99</v>
      </c>
      <c r="Y20" s="242">
        <v>17.42</v>
      </c>
      <c r="Z20" s="242">
        <v>38.9</v>
      </c>
      <c r="AA20" s="242">
        <v>38.9</v>
      </c>
      <c r="AB20" s="242">
        <v>0.58</v>
      </c>
      <c r="AC20" s="242">
        <v>0.38</v>
      </c>
      <c r="AD20" s="247"/>
      <c r="AE20" s="247"/>
      <c r="AF20" s="247"/>
      <c r="AG20" s="247"/>
      <c r="AH20" s="446">
        <f>data2!$C19+data2!$B19*T20</f>
        <v>29.93878115817791</v>
      </c>
      <c r="AI20" s="446">
        <f t="shared" si="2"/>
        <v>29.99</v>
      </c>
      <c r="AJ20" s="457">
        <f t="shared" si="3"/>
        <v>-0.0017107858049223682</v>
      </c>
      <c r="AK20" s="446">
        <f>IF(I20&gt;=30,data2!B19*'Proposed Spec Lines'!$E$6+data2!C19,IF(G20&gt;=1.1,data2!B19*'Proposed Spec Lines'!$C$6+data2!C19,data2!B19*'Proposed Spec Lines'!$D$6+data2!C19))</f>
        <v>32.44607816465353</v>
      </c>
      <c r="AL20" s="445">
        <f>IF(I20&gt;=30,'Proposed Spec Lines'!$E$6,IF(G20&gt;=1.1,'Proposed Spec Lines'!$C$6,'Proposed Spec Lines'!$D$6))</f>
        <v>200</v>
      </c>
      <c r="AM20" s="446">
        <f t="shared" si="4"/>
        <v>32.44607816465353</v>
      </c>
      <c r="AN20" s="445">
        <f t="shared" si="5"/>
        <v>200</v>
      </c>
      <c r="AO20" s="446">
        <f>IF(O20="Y",'Proposed Spec Lines'!$G$6*AM20+'Proposed Spec Lines'!$G$5*Y20,AM20)</f>
        <v>29.440862531722825</v>
      </c>
      <c r="AP20" s="445">
        <f>IF(O20="Y",'Proposed Spec Lines'!$G$6*AN20+'Proposed Spec Lines'!$G$5*U20,AN20)</f>
        <v>170.078</v>
      </c>
      <c r="AR20" s="458"/>
    </row>
    <row r="21" spans="1:44" ht="11.25">
      <c r="A21" s="447">
        <v>19</v>
      </c>
      <c r="B21" s="284" t="s">
        <v>137</v>
      </c>
      <c r="C21" s="243" t="s">
        <v>118</v>
      </c>
      <c r="D21" s="258" t="s">
        <v>119</v>
      </c>
      <c r="E21" s="242" t="s">
        <v>127</v>
      </c>
      <c r="F21" s="242" t="s">
        <v>2</v>
      </c>
      <c r="G21" s="414">
        <f>VLOOKUP($A21,'Spec Analysis_ScreenSize'!$A$2:$E$142,5,0)</f>
        <v>1.764</v>
      </c>
      <c r="H21" s="249">
        <v>0.3368055555555556</v>
      </c>
      <c r="I21" s="388">
        <v>22</v>
      </c>
      <c r="J21" s="247">
        <v>18.66</v>
      </c>
      <c r="K21" s="247">
        <v>11.67</v>
      </c>
      <c r="L21" s="246">
        <v>217.7622</v>
      </c>
      <c r="M21" s="242" t="s">
        <v>138</v>
      </c>
      <c r="N21" s="247" t="s">
        <v>125</v>
      </c>
      <c r="O21" s="242" t="s">
        <v>122</v>
      </c>
      <c r="P21" s="242" t="s">
        <v>122</v>
      </c>
      <c r="Q21" s="242" t="s">
        <v>123</v>
      </c>
      <c r="R21" s="242" t="s">
        <v>136</v>
      </c>
      <c r="S21" s="242" t="s">
        <v>138</v>
      </c>
      <c r="T21" s="242">
        <v>175</v>
      </c>
      <c r="U21" s="242">
        <v>101.13</v>
      </c>
      <c r="V21" s="242">
        <v>504.1</v>
      </c>
      <c r="W21" s="242">
        <v>504.1</v>
      </c>
      <c r="X21" s="242">
        <v>34.52</v>
      </c>
      <c r="Y21" s="242">
        <v>26.02</v>
      </c>
      <c r="Z21" s="242">
        <v>66.5</v>
      </c>
      <c r="AA21" s="242">
        <v>66.5</v>
      </c>
      <c r="AB21" s="242">
        <v>1.51</v>
      </c>
      <c r="AC21" s="242">
        <v>0.78</v>
      </c>
      <c r="AD21" s="247"/>
      <c r="AE21" s="247"/>
      <c r="AF21" s="247"/>
      <c r="AG21" s="247"/>
      <c r="AH21" s="446">
        <f>data2!$C20+data2!$B20*T21</f>
        <v>33.878909881600094</v>
      </c>
      <c r="AI21" s="446">
        <f t="shared" si="2"/>
        <v>34.52</v>
      </c>
      <c r="AJ21" s="457">
        <f t="shared" si="3"/>
        <v>-0.018922985439625666</v>
      </c>
      <c r="AK21" s="446">
        <f>IF(I21&gt;=30,data2!B20*'Proposed Spec Lines'!$E$6+data2!C20,IF(G21&gt;=1.1,data2!B20*'Proposed Spec Lines'!$C$6+data2!C20,data2!B20*'Proposed Spec Lines'!$D$6+data2!C20))</f>
        <v>36.36142663042352</v>
      </c>
      <c r="AL21" s="445">
        <f>IF(I21&gt;=30,'Proposed Spec Lines'!$E$6,IF(G21&gt;=1.1,'Proposed Spec Lines'!$C$6,'Proposed Spec Lines'!$D$6))</f>
        <v>200</v>
      </c>
      <c r="AM21" s="446">
        <f t="shared" si="4"/>
        <v>36.36142663042352</v>
      </c>
      <c r="AN21" s="445">
        <f t="shared" si="5"/>
        <v>200</v>
      </c>
      <c r="AO21" s="446">
        <f>IF(O21="Y",'Proposed Spec Lines'!$G$6*AM21+'Proposed Spec Lines'!$G$5*Y21,AM21)</f>
        <v>34.29314130433882</v>
      </c>
      <c r="AP21" s="445">
        <f>IF(O21="Y",'Proposed Spec Lines'!$G$6*AN21+'Proposed Spec Lines'!$G$5*U21,AN21)</f>
        <v>180.226</v>
      </c>
      <c r="AR21" s="458"/>
    </row>
    <row r="22" spans="1:44" ht="11.25">
      <c r="A22" s="416">
        <v>20</v>
      </c>
      <c r="B22" s="284" t="s">
        <v>137</v>
      </c>
      <c r="C22" s="243" t="s">
        <v>118</v>
      </c>
      <c r="D22" s="258" t="s">
        <v>119</v>
      </c>
      <c r="E22" s="242" t="s">
        <v>127</v>
      </c>
      <c r="F22" s="242" t="s">
        <v>1</v>
      </c>
      <c r="G22" s="414">
        <f>VLOOKUP($A22,'Spec Analysis_ScreenSize'!$A$2:$E$142,5,0)</f>
        <v>2.304</v>
      </c>
      <c r="H22" s="249">
        <v>0.3368055555555556</v>
      </c>
      <c r="I22" s="388">
        <v>24.1</v>
      </c>
      <c r="J22" s="247">
        <v>20.41</v>
      </c>
      <c r="K22" s="247">
        <v>12.81</v>
      </c>
      <c r="L22" s="246">
        <v>261.45210000000003</v>
      </c>
      <c r="M22" s="242" t="s">
        <v>138</v>
      </c>
      <c r="N22" s="247" t="s">
        <v>125</v>
      </c>
      <c r="O22" s="242" t="s">
        <v>122</v>
      </c>
      <c r="P22" s="242" t="s">
        <v>122</v>
      </c>
      <c r="Q22" s="242" t="s">
        <v>123</v>
      </c>
      <c r="R22" s="242" t="s">
        <v>136</v>
      </c>
      <c r="S22" s="242" t="s">
        <v>138</v>
      </c>
      <c r="T22" s="242">
        <v>175</v>
      </c>
      <c r="U22" s="242">
        <v>65.01</v>
      </c>
      <c r="V22" s="242">
        <v>312.7</v>
      </c>
      <c r="W22" s="242">
        <v>312.7</v>
      </c>
      <c r="X22" s="242">
        <v>45.01</v>
      </c>
      <c r="Y22" s="242">
        <v>24.83</v>
      </c>
      <c r="Z22" s="242">
        <v>68.7</v>
      </c>
      <c r="AA22" s="242">
        <v>38.7</v>
      </c>
      <c r="AB22" s="242">
        <v>1.05</v>
      </c>
      <c r="AC22" s="242">
        <v>0.8</v>
      </c>
      <c r="AD22" s="247"/>
      <c r="AE22" s="247"/>
      <c r="AF22" s="247"/>
      <c r="AG22" s="247"/>
      <c r="AH22" s="422">
        <f>data2!$C21+data2!$B21*T22</f>
        <v>44.51346746352007</v>
      </c>
      <c r="AI22" s="422">
        <f t="shared" si="2"/>
        <v>45.01</v>
      </c>
      <c r="AJ22" s="423">
        <f t="shared" si="3"/>
        <v>-0.011154658685865052</v>
      </c>
      <c r="AK22" s="446">
        <f>IF(I22&gt;=30,data2!B21*'Proposed Spec Lines'!$E$6+data2!C21,IF(G22&gt;=1.1,data2!B21*'Proposed Spec Lines'!$C$6+data2!C21,data2!B21*'Proposed Spec Lines'!$D$6+data2!C21))</f>
        <v>48.92464728123359</v>
      </c>
      <c r="AL22" s="445">
        <f>IF(I22&gt;=30,'Proposed Spec Lines'!$E$6,IF(G22&gt;=1.1,'Proposed Spec Lines'!$C$6,'Proposed Spec Lines'!$D$6))</f>
        <v>200</v>
      </c>
      <c r="AM22" s="446">
        <f t="shared" si="4"/>
        <v>48.92464728123359</v>
      </c>
      <c r="AN22" s="445">
        <f t="shared" si="5"/>
        <v>200</v>
      </c>
      <c r="AO22" s="446">
        <f>IF(O22="Y",'Proposed Spec Lines'!$G$6*AM22+'Proposed Spec Lines'!$G$5*Y22,AM22)</f>
        <v>44.105717824986876</v>
      </c>
      <c r="AP22" s="445">
        <f>IF(O22="Y",'Proposed Spec Lines'!$G$6*AN22+'Proposed Spec Lines'!$G$5*U22,AN22)</f>
        <v>173.002</v>
      </c>
      <c r="AR22" s="458"/>
    </row>
    <row r="23" spans="1:44" ht="11.25">
      <c r="A23" s="416">
        <v>21</v>
      </c>
      <c r="B23" s="284" t="s">
        <v>137</v>
      </c>
      <c r="C23" s="243" t="s">
        <v>118</v>
      </c>
      <c r="D23" s="258" t="s">
        <v>119</v>
      </c>
      <c r="E23" s="242" t="s">
        <v>120</v>
      </c>
      <c r="F23" s="242" t="s">
        <v>1</v>
      </c>
      <c r="G23" s="414">
        <f>VLOOKUP($A23,'Spec Analysis_ScreenSize'!$A$2:$E$142,5,0)</f>
        <v>2.304</v>
      </c>
      <c r="H23" s="249">
        <v>0.3368055555555556</v>
      </c>
      <c r="I23" s="388">
        <v>24.1</v>
      </c>
      <c r="J23" s="247">
        <v>20.41</v>
      </c>
      <c r="K23" s="247">
        <v>12.76</v>
      </c>
      <c r="L23" s="246">
        <v>260.4316</v>
      </c>
      <c r="M23" s="242" t="s">
        <v>138</v>
      </c>
      <c r="N23" s="247" t="s">
        <v>125</v>
      </c>
      <c r="O23" s="242" t="s">
        <v>122</v>
      </c>
      <c r="P23" s="242" t="s">
        <v>122</v>
      </c>
      <c r="Q23" s="242" t="s">
        <v>123</v>
      </c>
      <c r="R23" s="242" t="s">
        <v>136</v>
      </c>
      <c r="S23" s="242" t="s">
        <v>138</v>
      </c>
      <c r="T23" s="242">
        <v>175</v>
      </c>
      <c r="U23" s="242">
        <v>75.17</v>
      </c>
      <c r="V23" s="242">
        <v>362.8</v>
      </c>
      <c r="W23" s="242">
        <v>362.8</v>
      </c>
      <c r="X23" s="242">
        <v>43.3</v>
      </c>
      <c r="Y23" s="242">
        <v>27.16</v>
      </c>
      <c r="Z23" s="242">
        <v>69.3</v>
      </c>
      <c r="AA23" s="242">
        <v>69.3</v>
      </c>
      <c r="AB23" s="242">
        <v>1.73</v>
      </c>
      <c r="AC23" s="242">
        <v>0.85</v>
      </c>
      <c r="AD23" s="247"/>
      <c r="AE23" s="247"/>
      <c r="AF23" s="247"/>
      <c r="AG23" s="247"/>
      <c r="AH23" s="446">
        <f>data2!$C22+data2!$B22*T23</f>
        <v>42.281432819180964</v>
      </c>
      <c r="AI23" s="446">
        <f t="shared" si="2"/>
        <v>43.3</v>
      </c>
      <c r="AJ23" s="457">
        <f t="shared" si="3"/>
        <v>-0.02409017653623509</v>
      </c>
      <c r="AK23" s="446">
        <f>IF(I23&gt;=30,data2!B22*'Proposed Spec Lines'!$E$6+data2!C22,IF(G23&gt;=1.1,data2!B22*'Proposed Spec Lines'!$C$6+data2!C22,data2!B22*'Proposed Spec Lines'!$D$6+data2!C22))</f>
        <v>45.90168418111991</v>
      </c>
      <c r="AL23" s="445">
        <f>IF(I23&gt;=30,'Proposed Spec Lines'!$E$6,IF(G23&gt;=1.1,'Proposed Spec Lines'!$C$6,'Proposed Spec Lines'!$D$6))</f>
        <v>200</v>
      </c>
      <c r="AM23" s="446">
        <f t="shared" si="4"/>
        <v>45.90168418111991</v>
      </c>
      <c r="AN23" s="445">
        <f t="shared" si="5"/>
        <v>200</v>
      </c>
      <c r="AO23" s="446">
        <f>IF(O23="Y",'Proposed Spec Lines'!$G$6*AM23+'Proposed Spec Lines'!$G$5*Y23,AM23)</f>
        <v>42.153347344895934</v>
      </c>
      <c r="AP23" s="445">
        <f>IF(O23="Y",'Proposed Spec Lines'!$G$6*AN23+'Proposed Spec Lines'!$G$5*U23,AN23)</f>
        <v>175.034</v>
      </c>
      <c r="AR23" s="458"/>
    </row>
    <row r="24" spans="1:44" ht="22.5">
      <c r="A24" s="447">
        <v>22</v>
      </c>
      <c r="B24" s="285">
        <v>39503</v>
      </c>
      <c r="C24" s="254" t="s">
        <v>118</v>
      </c>
      <c r="D24" s="255" t="s">
        <v>119</v>
      </c>
      <c r="E24" s="253" t="s">
        <v>127</v>
      </c>
      <c r="F24" s="253" t="s">
        <v>2</v>
      </c>
      <c r="G24" s="414">
        <f>VLOOKUP($A24,'Spec Analysis_ScreenSize'!$A$2:$E$142,5,0)</f>
        <v>1.764</v>
      </c>
      <c r="H24" s="253">
        <v>1.6</v>
      </c>
      <c r="I24" s="390">
        <v>22</v>
      </c>
      <c r="J24" s="256">
        <v>18.655962688111934</v>
      </c>
      <c r="K24" s="256">
        <v>11.659976680069962</v>
      </c>
      <c r="L24" s="246">
        <v>217.52808988764048</v>
      </c>
      <c r="M24" s="252" t="s">
        <v>143</v>
      </c>
      <c r="N24" s="253" t="s">
        <v>123</v>
      </c>
      <c r="O24" s="253" t="s">
        <v>123</v>
      </c>
      <c r="P24" s="253" t="s">
        <v>123</v>
      </c>
      <c r="Q24" s="253" t="s">
        <v>144</v>
      </c>
      <c r="R24" s="253" t="s">
        <v>132</v>
      </c>
      <c r="S24" s="253" t="s">
        <v>132</v>
      </c>
      <c r="T24" s="253">
        <v>186</v>
      </c>
      <c r="U24" s="253">
        <v>105</v>
      </c>
      <c r="V24" s="253"/>
      <c r="W24" s="253">
        <v>297</v>
      </c>
      <c r="X24" s="253">
        <v>28.3</v>
      </c>
      <c r="Y24" s="253">
        <v>21.3</v>
      </c>
      <c r="Z24" s="253"/>
      <c r="AA24" s="253">
        <v>38.4</v>
      </c>
      <c r="AB24" s="253">
        <v>0.59</v>
      </c>
      <c r="AC24" s="253">
        <v>0.51</v>
      </c>
      <c r="AD24" s="252"/>
      <c r="AE24" s="252"/>
      <c r="AF24" s="252"/>
      <c r="AG24" s="252"/>
      <c r="AH24" s="446">
        <f>data2!$C23+data2!$B23*T24</f>
        <v>28.441556344849854</v>
      </c>
      <c r="AI24" s="446">
        <f t="shared" si="2"/>
        <v>28.3</v>
      </c>
      <c r="AJ24" s="457">
        <f t="shared" si="3"/>
        <v>0.004977095596791626</v>
      </c>
      <c r="AK24" s="446">
        <f>IF(I24&gt;=30,data2!B23*'Proposed Spec Lines'!$E$6+data2!C23,IF(G24&gt;=1.1,data2!B23*'Proposed Spec Lines'!$C$6+data2!C23,data2!B23*'Proposed Spec Lines'!$D$6+data2!C23))</f>
        <v>29.690044128726722</v>
      </c>
      <c r="AL24" s="445">
        <f>IF(I24&gt;=30,'Proposed Spec Lines'!$E$6,IF(G24&gt;=1.1,'Proposed Spec Lines'!$C$6,'Proposed Spec Lines'!$D$6))</f>
        <v>200</v>
      </c>
      <c r="AM24" s="446">
        <f t="shared" si="4"/>
        <v>29.690044128726722</v>
      </c>
      <c r="AN24" s="445">
        <f t="shared" si="5"/>
        <v>200</v>
      </c>
      <c r="AO24" s="446">
        <f>IF(O24="Y",'Proposed Spec Lines'!$G$6*AM24+'Proposed Spec Lines'!$G$5*Y24,AM24)</f>
        <v>29.690044128726722</v>
      </c>
      <c r="AP24" s="445">
        <f>IF(O24="Y",'Proposed Spec Lines'!$G$6*AN24+'Proposed Spec Lines'!$G$5*U24,AN24)</f>
        <v>200</v>
      </c>
      <c r="AR24" s="458"/>
    </row>
    <row r="25" spans="1:44" ht="33.75">
      <c r="A25" s="416">
        <v>23</v>
      </c>
      <c r="B25" s="285">
        <v>39503</v>
      </c>
      <c r="C25" s="254" t="s">
        <v>118</v>
      </c>
      <c r="D25" s="255" t="s">
        <v>119</v>
      </c>
      <c r="E25" s="253" t="s">
        <v>127</v>
      </c>
      <c r="F25" s="253" t="s">
        <v>2</v>
      </c>
      <c r="G25" s="414">
        <f>VLOOKUP($A25,'Spec Analysis_ScreenSize'!$A$2:$E$142,5,0)</f>
        <v>1.764</v>
      </c>
      <c r="H25" s="253">
        <v>1.6</v>
      </c>
      <c r="I25" s="390">
        <v>22</v>
      </c>
      <c r="J25" s="256">
        <v>18.655962688111934</v>
      </c>
      <c r="K25" s="256">
        <v>11.659976680069962</v>
      </c>
      <c r="L25" s="246">
        <v>217.52808988764048</v>
      </c>
      <c r="M25" s="252" t="s">
        <v>145</v>
      </c>
      <c r="N25" s="253" t="s">
        <v>123</v>
      </c>
      <c r="O25" s="253" t="s">
        <v>123</v>
      </c>
      <c r="P25" s="253" t="s">
        <v>123</v>
      </c>
      <c r="Q25" s="253" t="s">
        <v>144</v>
      </c>
      <c r="R25" s="252" t="s">
        <v>132</v>
      </c>
      <c r="S25" s="252" t="s">
        <v>132</v>
      </c>
      <c r="T25" s="252">
        <v>184</v>
      </c>
      <c r="U25" s="252">
        <v>38.5</v>
      </c>
      <c r="V25" s="252"/>
      <c r="W25" s="252">
        <v>280</v>
      </c>
      <c r="X25" s="253">
        <v>28.5</v>
      </c>
      <c r="Y25" s="253">
        <v>16.4</v>
      </c>
      <c r="Z25" s="253"/>
      <c r="AA25" s="253">
        <v>36.1</v>
      </c>
      <c r="AB25" s="253">
        <v>0.84</v>
      </c>
      <c r="AC25" s="253">
        <v>0.74</v>
      </c>
      <c r="AD25" s="252"/>
      <c r="AE25" s="252"/>
      <c r="AF25" s="252"/>
      <c r="AG25" s="252"/>
      <c r="AH25" s="446">
        <f>data2!$C24+data2!$B24*T25</f>
        <v>28.34809009283214</v>
      </c>
      <c r="AI25" s="446">
        <f t="shared" si="2"/>
        <v>28.5</v>
      </c>
      <c r="AJ25" s="457">
        <f t="shared" si="3"/>
        <v>-0.005358735162418211</v>
      </c>
      <c r="AK25" s="446">
        <f>IF(I25&gt;=30,data2!B24*'Proposed Spec Lines'!$E$6+data2!C24,IF(G25&gt;=1.1,data2!B24*'Proposed Spec Lines'!$C$6+data2!C24,data2!B24*'Proposed Spec Lines'!$D$6+data2!C24))</f>
        <v>29.655328970729975</v>
      </c>
      <c r="AL25" s="445">
        <f>IF(I25&gt;=30,'Proposed Spec Lines'!$E$6,IF(G25&gt;=1.1,'Proposed Spec Lines'!$C$6,'Proposed Spec Lines'!$D$6))</f>
        <v>200</v>
      </c>
      <c r="AM25" s="446">
        <f t="shared" si="4"/>
        <v>29.655328970729975</v>
      </c>
      <c r="AN25" s="445">
        <f t="shared" si="5"/>
        <v>200</v>
      </c>
      <c r="AO25" s="446">
        <f>IF(O25="Y",'Proposed Spec Lines'!$G$6*AM25+'Proposed Spec Lines'!$G$5*Y25,AM25)</f>
        <v>29.655328970729975</v>
      </c>
      <c r="AP25" s="445">
        <f>IF(O25="Y",'Proposed Spec Lines'!$G$6*AN25+'Proposed Spec Lines'!$G$5*U25,AN25)</f>
        <v>200</v>
      </c>
      <c r="AR25" s="458"/>
    </row>
    <row r="26" spans="1:44" ht="11.25">
      <c r="A26" s="416">
        <v>24</v>
      </c>
      <c r="B26" s="285">
        <v>39528</v>
      </c>
      <c r="C26" s="254" t="s">
        <v>118</v>
      </c>
      <c r="D26" s="255" t="s">
        <v>119</v>
      </c>
      <c r="E26" s="253" t="s">
        <v>127</v>
      </c>
      <c r="F26" s="253" t="s">
        <v>3</v>
      </c>
      <c r="G26" s="414">
        <f>VLOOKUP($A26,'Spec Analysis_ScreenSize'!$A$2:$E$142,5,0)</f>
        <v>1.31072</v>
      </c>
      <c r="H26" s="253">
        <v>1.25</v>
      </c>
      <c r="I26" s="390">
        <v>17</v>
      </c>
      <c r="J26" s="256">
        <v>13.274769760531514</v>
      </c>
      <c r="K26" s="256">
        <v>10.619815808425212</v>
      </c>
      <c r="L26" s="246">
        <v>140.97560975609755</v>
      </c>
      <c r="M26" s="252"/>
      <c r="N26" s="252" t="s">
        <v>146</v>
      </c>
      <c r="O26" s="253" t="s">
        <v>123</v>
      </c>
      <c r="P26" s="253" t="s">
        <v>123</v>
      </c>
      <c r="Q26" s="253" t="s">
        <v>123</v>
      </c>
      <c r="R26" s="253" t="s">
        <v>144</v>
      </c>
      <c r="S26" s="253" t="s">
        <v>132</v>
      </c>
      <c r="T26" s="253">
        <v>187</v>
      </c>
      <c r="U26" s="253">
        <v>46.9</v>
      </c>
      <c r="V26" s="253">
        <v>200</v>
      </c>
      <c r="W26" s="253">
        <v>258</v>
      </c>
      <c r="X26" s="253">
        <v>21.9</v>
      </c>
      <c r="Y26" s="253">
        <v>12.7</v>
      </c>
      <c r="Z26" s="253">
        <v>25.3</v>
      </c>
      <c r="AA26" s="253">
        <v>26.9</v>
      </c>
      <c r="AB26" s="253"/>
      <c r="AC26" s="253"/>
      <c r="AD26" s="252"/>
      <c r="AE26" s="252"/>
      <c r="AF26" s="252"/>
      <c r="AG26" s="252"/>
      <c r="AH26" s="446">
        <f>data2!$C25+data2!$B25*T26</f>
        <v>22.67785204755312</v>
      </c>
      <c r="AI26" s="446">
        <f t="shared" si="2"/>
        <v>21.9</v>
      </c>
      <c r="AJ26" s="457">
        <f t="shared" si="3"/>
        <v>0.03430007594731838</v>
      </c>
      <c r="AK26" s="446">
        <f>IF(I26&gt;=30,data2!B25*'Proposed Spec Lines'!$E$6+data2!C25,IF(G26&gt;=1.1,data2!B25*'Proposed Spec Lines'!$C$6+data2!C25,data2!B25*'Proposed Spec Lines'!$D$6+data2!C25))</f>
        <v>23.584238972201295</v>
      </c>
      <c r="AL26" s="445">
        <f>IF(I26&gt;=30,'Proposed Spec Lines'!$E$6,IF(G26&gt;=1.1,'Proposed Spec Lines'!$C$6,'Proposed Spec Lines'!$D$6))</f>
        <v>200</v>
      </c>
      <c r="AM26" s="446">
        <f t="shared" si="4"/>
        <v>23.584238972201295</v>
      </c>
      <c r="AN26" s="445">
        <f t="shared" si="5"/>
        <v>200</v>
      </c>
      <c r="AO26" s="446">
        <f>IF(O26="Y",'Proposed Spec Lines'!$G$6*AM26+'Proposed Spec Lines'!$G$5*Y26,AM26)</f>
        <v>23.584238972201295</v>
      </c>
      <c r="AP26" s="445">
        <f>IF(O26="Y",'Proposed Spec Lines'!$G$6*AN26+'Proposed Spec Lines'!$G$5*U26,AN26)</f>
        <v>200</v>
      </c>
      <c r="AR26" s="458"/>
    </row>
    <row r="27" spans="1:44" ht="11.25">
      <c r="A27" s="447">
        <v>25</v>
      </c>
      <c r="B27" s="285">
        <v>39532</v>
      </c>
      <c r="C27" s="254" t="s">
        <v>118</v>
      </c>
      <c r="D27" s="255" t="s">
        <v>119</v>
      </c>
      <c r="E27" s="253" t="s">
        <v>127</v>
      </c>
      <c r="F27" s="253" t="s">
        <v>3</v>
      </c>
      <c r="G27" s="414">
        <f>VLOOKUP($A27,'Spec Analysis_ScreenSize'!$A$2:$E$142,5,0)</f>
        <v>1.31072</v>
      </c>
      <c r="H27" s="253">
        <v>1.25</v>
      </c>
      <c r="I27" s="390">
        <v>17</v>
      </c>
      <c r="J27" s="256">
        <v>13.274769760531514</v>
      </c>
      <c r="K27" s="256">
        <v>10.619815808425212</v>
      </c>
      <c r="L27" s="246">
        <v>140.97560975609755</v>
      </c>
      <c r="M27" s="252"/>
      <c r="N27" s="252" t="s">
        <v>146</v>
      </c>
      <c r="O27" s="253" t="s">
        <v>123</v>
      </c>
      <c r="P27" s="253" t="s">
        <v>123</v>
      </c>
      <c r="Q27" s="253" t="s">
        <v>123</v>
      </c>
      <c r="R27" s="253" t="s">
        <v>144</v>
      </c>
      <c r="S27" s="253" t="s">
        <v>132</v>
      </c>
      <c r="T27" s="252">
        <v>201</v>
      </c>
      <c r="U27" s="252">
        <v>35</v>
      </c>
      <c r="V27" s="252">
        <v>153</v>
      </c>
      <c r="W27" s="252">
        <v>259</v>
      </c>
      <c r="X27" s="252">
        <v>15.5</v>
      </c>
      <c r="Y27" s="252">
        <v>9.6</v>
      </c>
      <c r="Z27" s="252">
        <v>17.2</v>
      </c>
      <c r="AA27" s="252">
        <v>17.6</v>
      </c>
      <c r="AB27" s="252">
        <v>0.69</v>
      </c>
      <c r="AC27" s="252">
        <v>0.52</v>
      </c>
      <c r="AD27" s="252"/>
      <c r="AE27" s="252"/>
      <c r="AF27" s="252"/>
      <c r="AG27" s="252"/>
      <c r="AH27" s="446">
        <f>data2!$C26+data2!$B26*T27</f>
        <v>16.32246868091378</v>
      </c>
      <c r="AI27" s="446">
        <f t="shared" si="2"/>
        <v>15.5</v>
      </c>
      <c r="AJ27" s="457">
        <f t="shared" si="3"/>
        <v>0.050388743087343764</v>
      </c>
      <c r="AK27" s="446">
        <f>IF(I27&gt;=30,data2!B26*'Proposed Spec Lines'!$E$6+data2!C26,IF(G27&gt;=1.1,data2!B26*'Proposed Spec Lines'!$C$6+data2!C26,data2!B26*'Proposed Spec Lines'!$D$6+data2!C26))</f>
        <v>16.287918201915993</v>
      </c>
      <c r="AL27" s="445">
        <f>IF(I27&gt;=30,'Proposed Spec Lines'!$E$6,IF(G27&gt;=1.1,'Proposed Spec Lines'!$C$6,'Proposed Spec Lines'!$D$6))</f>
        <v>200</v>
      </c>
      <c r="AM27" s="446">
        <f t="shared" si="4"/>
        <v>16.287918201915993</v>
      </c>
      <c r="AN27" s="445">
        <f t="shared" si="5"/>
        <v>200</v>
      </c>
      <c r="AO27" s="446">
        <f>IF(O27="Y",'Proposed Spec Lines'!$G$6*AM27+'Proposed Spec Lines'!$G$5*Y27,AM27)</f>
        <v>16.287918201915993</v>
      </c>
      <c r="AP27" s="445">
        <f>IF(O27="Y",'Proposed Spec Lines'!$G$6*AN27+'Proposed Spec Lines'!$G$5*U27,AN27)</f>
        <v>200</v>
      </c>
      <c r="AR27" s="458"/>
    </row>
    <row r="28" spans="1:44" ht="22.5">
      <c r="A28" s="416">
        <v>26</v>
      </c>
      <c r="B28" s="285">
        <v>39492</v>
      </c>
      <c r="C28" s="254" t="s">
        <v>118</v>
      </c>
      <c r="D28" s="255" t="s">
        <v>119</v>
      </c>
      <c r="E28" s="253" t="s">
        <v>127</v>
      </c>
      <c r="F28" s="253" t="s">
        <v>3</v>
      </c>
      <c r="G28" s="414">
        <f>VLOOKUP($A28,'Spec Analysis_ScreenSize'!$A$2:$E$142,5,0)</f>
        <v>1.31072</v>
      </c>
      <c r="H28" s="253">
        <v>1.25</v>
      </c>
      <c r="I28" s="390">
        <v>17</v>
      </c>
      <c r="J28" s="256">
        <v>13.274769760531514</v>
      </c>
      <c r="K28" s="256">
        <v>10.619815808425212</v>
      </c>
      <c r="L28" s="246">
        <v>140.97560975609755</v>
      </c>
      <c r="M28" s="252" t="s">
        <v>146</v>
      </c>
      <c r="N28" s="253" t="s">
        <v>123</v>
      </c>
      <c r="O28" s="253" t="s">
        <v>123</v>
      </c>
      <c r="P28" s="253" t="s">
        <v>123</v>
      </c>
      <c r="Q28" s="253" t="s">
        <v>144</v>
      </c>
      <c r="R28" s="253" t="s">
        <v>132</v>
      </c>
      <c r="S28" s="253" t="s">
        <v>132</v>
      </c>
      <c r="T28" s="253">
        <v>175</v>
      </c>
      <c r="U28" s="253">
        <v>37.7</v>
      </c>
      <c r="V28" s="253"/>
      <c r="W28" s="253">
        <v>243</v>
      </c>
      <c r="X28" s="253">
        <v>15.4</v>
      </c>
      <c r="Y28" s="253">
        <v>10.3</v>
      </c>
      <c r="Z28" s="253"/>
      <c r="AA28" s="253">
        <v>18.2</v>
      </c>
      <c r="AB28" s="253">
        <v>0.72</v>
      </c>
      <c r="AC28" s="253">
        <v>0.5</v>
      </c>
      <c r="AD28" s="252"/>
      <c r="AE28" s="252"/>
      <c r="AF28" s="252"/>
      <c r="AG28" s="253"/>
      <c r="AH28" s="446">
        <f>data2!$C27+data2!$B27*T28</f>
        <v>15.517755165918</v>
      </c>
      <c r="AI28" s="446">
        <f t="shared" si="2"/>
        <v>15.4</v>
      </c>
      <c r="AJ28" s="457">
        <f t="shared" si="3"/>
        <v>0.007588414990373635</v>
      </c>
      <c r="AK28" s="446">
        <f>IF(I28&gt;=30,data2!B27*'Proposed Spec Lines'!$E$6+data2!C27,IF(G28&gt;=1.1,data2!B27*'Proposed Spec Lines'!$C$6+data2!C27,data2!B27*'Proposed Spec Lines'!$D$6+data2!C27))</f>
        <v>16.47492165139924</v>
      </c>
      <c r="AL28" s="445">
        <f>IF(I28&gt;=30,'Proposed Spec Lines'!$E$6,IF(G28&gt;=1.1,'Proposed Spec Lines'!$C$6,'Proposed Spec Lines'!$D$6))</f>
        <v>200</v>
      </c>
      <c r="AM28" s="446">
        <f t="shared" si="4"/>
        <v>16.47492165139924</v>
      </c>
      <c r="AN28" s="445">
        <f t="shared" si="5"/>
        <v>200</v>
      </c>
      <c r="AO28" s="446">
        <f>IF(O28="Y",'Proposed Spec Lines'!$G$6*AM28+'Proposed Spec Lines'!$G$5*Y28,AM28)</f>
        <v>16.47492165139924</v>
      </c>
      <c r="AP28" s="445">
        <f>IF(O28="Y",'Proposed Spec Lines'!$G$6*AN28+'Proposed Spec Lines'!$G$5*U28,AN28)</f>
        <v>200</v>
      </c>
      <c r="AR28" s="458"/>
    </row>
    <row r="29" spans="1:44" ht="11.25">
      <c r="A29" s="416">
        <v>27</v>
      </c>
      <c r="B29" s="285">
        <v>39528</v>
      </c>
      <c r="C29" s="254" t="s">
        <v>118</v>
      </c>
      <c r="D29" s="255" t="s">
        <v>119</v>
      </c>
      <c r="E29" s="253" t="s">
        <v>127</v>
      </c>
      <c r="F29" s="252" t="s">
        <v>4</v>
      </c>
      <c r="G29" s="414">
        <f>VLOOKUP($A29,'Spec Analysis_ScreenSize'!$A$2:$E$142,5,0)</f>
        <v>1.296</v>
      </c>
      <c r="H29" s="252">
        <v>1.6</v>
      </c>
      <c r="I29" s="391">
        <v>19</v>
      </c>
      <c r="J29" s="256">
        <v>16.11196777609667</v>
      </c>
      <c r="K29" s="256">
        <v>10.069979860060421</v>
      </c>
      <c r="L29" s="246">
        <v>162.24719101123594</v>
      </c>
      <c r="M29" s="252"/>
      <c r="N29" s="252" t="s">
        <v>146</v>
      </c>
      <c r="O29" s="253" t="s">
        <v>123</v>
      </c>
      <c r="P29" s="253" t="s">
        <v>123</v>
      </c>
      <c r="Q29" s="253" t="s">
        <v>123</v>
      </c>
      <c r="R29" s="253" t="s">
        <v>144</v>
      </c>
      <c r="S29" s="253" t="s">
        <v>132</v>
      </c>
      <c r="T29" s="252">
        <v>179</v>
      </c>
      <c r="U29" s="252">
        <v>59.1</v>
      </c>
      <c r="V29" s="252">
        <v>163</v>
      </c>
      <c r="W29" s="252">
        <v>268</v>
      </c>
      <c r="X29" s="252">
        <v>24.4</v>
      </c>
      <c r="Y29" s="252">
        <v>15.2</v>
      </c>
      <c r="Z29" s="252">
        <v>25.3</v>
      </c>
      <c r="AA29" s="252">
        <v>31.5</v>
      </c>
      <c r="AB29" s="252"/>
      <c r="AC29" s="252"/>
      <c r="AD29" s="252"/>
      <c r="AE29" s="252"/>
      <c r="AF29" s="252"/>
      <c r="AG29" s="252"/>
      <c r="AH29" s="446">
        <f>data2!$C28+data2!$B28*T29</f>
        <v>25.009363813724946</v>
      </c>
      <c r="AI29" s="446">
        <f t="shared" si="2"/>
        <v>24.4</v>
      </c>
      <c r="AJ29" s="457">
        <f t="shared" si="3"/>
        <v>0.02436542641642619</v>
      </c>
      <c r="AK29" s="446">
        <f>IF(I29&gt;=30,data2!B28*'Proposed Spec Lines'!$E$6+data2!C28,IF(G29&gt;=1.1,data2!B28*'Proposed Spec Lines'!$C$6+data2!C28,data2!B28*'Proposed Spec Lines'!$D$6+data2!C28))</f>
        <v>26.63807512188903</v>
      </c>
      <c r="AL29" s="445">
        <f>IF(I29&gt;=30,'Proposed Spec Lines'!$E$6,IF(G29&gt;=1.1,'Proposed Spec Lines'!$C$6,'Proposed Spec Lines'!$D$6))</f>
        <v>200</v>
      </c>
      <c r="AM29" s="446">
        <f t="shared" si="4"/>
        <v>26.63807512188903</v>
      </c>
      <c r="AN29" s="445">
        <f t="shared" si="5"/>
        <v>200</v>
      </c>
      <c r="AO29" s="446">
        <f>IF(O29="Y",'Proposed Spec Lines'!$G$6*AM29+'Proposed Spec Lines'!$G$5*Y29,AM29)</f>
        <v>26.63807512188903</v>
      </c>
      <c r="AP29" s="445">
        <f>IF(O29="Y",'Proposed Spec Lines'!$G$6*AN29+'Proposed Spec Lines'!$G$5*U29,AN29)</f>
        <v>200</v>
      </c>
      <c r="AR29" s="458"/>
    </row>
    <row r="30" spans="1:44" ht="11.25">
      <c r="A30" s="447">
        <v>28</v>
      </c>
      <c r="B30" s="285">
        <v>39532</v>
      </c>
      <c r="C30" s="254" t="s">
        <v>118</v>
      </c>
      <c r="D30" s="255" t="s">
        <v>119</v>
      </c>
      <c r="E30" s="253" t="s">
        <v>127</v>
      </c>
      <c r="F30" s="252" t="s">
        <v>4</v>
      </c>
      <c r="G30" s="414">
        <f>VLOOKUP($A30,'Spec Analysis_ScreenSize'!$A$2:$E$142,5,0)</f>
        <v>1.296</v>
      </c>
      <c r="H30" s="252">
        <v>1.6</v>
      </c>
      <c r="I30" s="391">
        <v>19</v>
      </c>
      <c r="J30" s="256">
        <v>16.11196777609667</v>
      </c>
      <c r="K30" s="256">
        <v>10.069979860060421</v>
      </c>
      <c r="L30" s="246">
        <v>162.24719101123594</v>
      </c>
      <c r="M30" s="252"/>
      <c r="N30" s="252" t="s">
        <v>146</v>
      </c>
      <c r="O30" s="253" t="s">
        <v>123</v>
      </c>
      <c r="P30" s="253" t="s">
        <v>123</v>
      </c>
      <c r="Q30" s="253" t="s">
        <v>123</v>
      </c>
      <c r="R30" s="253" t="s">
        <v>144</v>
      </c>
      <c r="S30" s="253" t="s">
        <v>132</v>
      </c>
      <c r="T30" s="252">
        <v>180</v>
      </c>
      <c r="U30" s="252">
        <v>29</v>
      </c>
      <c r="V30" s="252">
        <v>194</v>
      </c>
      <c r="W30" s="252">
        <v>277</v>
      </c>
      <c r="X30" s="252">
        <v>15.9</v>
      </c>
      <c r="Y30" s="252">
        <v>9.3</v>
      </c>
      <c r="Z30" s="252">
        <v>18.8</v>
      </c>
      <c r="AA30" s="252">
        <v>19.5</v>
      </c>
      <c r="AB30" s="252">
        <v>0.64</v>
      </c>
      <c r="AC30" s="252">
        <v>0.43</v>
      </c>
      <c r="AD30" s="252"/>
      <c r="AE30" s="252"/>
      <c r="AF30" s="252"/>
      <c r="AG30" s="252"/>
      <c r="AH30" s="446">
        <f>data2!$C29+data2!$B29*T30</f>
        <v>16.307856339436356</v>
      </c>
      <c r="AI30" s="446">
        <f t="shared" si="2"/>
        <v>15.9</v>
      </c>
      <c r="AJ30" s="457">
        <f t="shared" si="3"/>
        <v>0.025009806987939892</v>
      </c>
      <c r="AK30" s="446">
        <f>IF(I30&gt;=30,data2!B29*'Proposed Spec Lines'!$E$6+data2!C29,IF(G30&gt;=1.1,data2!B29*'Proposed Spec Lines'!$C$6+data2!C29,data2!B29*'Proposed Spec Lines'!$D$6+data2!C29))</f>
        <v>17.173569018309067</v>
      </c>
      <c r="AL30" s="445">
        <f>IF(I30&gt;=30,'Proposed Spec Lines'!$E$6,IF(G30&gt;=1.1,'Proposed Spec Lines'!$C$6,'Proposed Spec Lines'!$D$6))</f>
        <v>200</v>
      </c>
      <c r="AM30" s="446">
        <f t="shared" si="4"/>
        <v>17.173569018309067</v>
      </c>
      <c r="AN30" s="445">
        <f t="shared" si="5"/>
        <v>200</v>
      </c>
      <c r="AO30" s="446">
        <f>IF(O30="Y",'Proposed Spec Lines'!$G$6*AM30+'Proposed Spec Lines'!$G$5*Y30,AM30)</f>
        <v>17.173569018309067</v>
      </c>
      <c r="AP30" s="445">
        <f>IF(O30="Y",'Proposed Spec Lines'!$G$6*AN30+'Proposed Spec Lines'!$G$5*U30,AN30)</f>
        <v>200</v>
      </c>
      <c r="AR30" s="458"/>
    </row>
    <row r="31" spans="1:44" ht="22.5">
      <c r="A31" s="416">
        <v>29</v>
      </c>
      <c r="B31" s="285">
        <v>39492</v>
      </c>
      <c r="C31" s="254" t="s">
        <v>118</v>
      </c>
      <c r="D31" s="255" t="s">
        <v>119</v>
      </c>
      <c r="E31" s="253" t="s">
        <v>127</v>
      </c>
      <c r="F31" s="253" t="s">
        <v>4</v>
      </c>
      <c r="G31" s="414">
        <f>VLOOKUP($A31,'Spec Analysis_ScreenSize'!$A$2:$E$142,5,0)</f>
        <v>1.296</v>
      </c>
      <c r="H31" s="253">
        <v>1.6</v>
      </c>
      <c r="I31" s="390">
        <v>19</v>
      </c>
      <c r="J31" s="256">
        <v>16.11196777609667</v>
      </c>
      <c r="K31" s="256">
        <v>10.069979860060421</v>
      </c>
      <c r="L31" s="246">
        <v>162.24719101123594</v>
      </c>
      <c r="M31" s="252" t="s">
        <v>146</v>
      </c>
      <c r="N31" s="253" t="s">
        <v>123</v>
      </c>
      <c r="O31" s="253" t="s">
        <v>123</v>
      </c>
      <c r="P31" s="253" t="s">
        <v>123</v>
      </c>
      <c r="Q31" s="253" t="s">
        <v>144</v>
      </c>
      <c r="R31" s="253" t="s">
        <v>132</v>
      </c>
      <c r="S31" s="253" t="s">
        <v>132</v>
      </c>
      <c r="T31" s="253">
        <v>177</v>
      </c>
      <c r="U31" s="253">
        <v>26.4</v>
      </c>
      <c r="V31" s="253"/>
      <c r="W31" s="253">
        <v>247</v>
      </c>
      <c r="X31" s="253">
        <v>17.5</v>
      </c>
      <c r="Y31" s="253">
        <v>10.1</v>
      </c>
      <c r="Z31" s="253"/>
      <c r="AA31" s="253">
        <v>20.6</v>
      </c>
      <c r="AB31" s="253">
        <v>0.61</v>
      </c>
      <c r="AC31" s="253">
        <v>0.43</v>
      </c>
      <c r="AD31" s="252"/>
      <c r="AE31" s="252"/>
      <c r="AF31" s="252"/>
      <c r="AG31" s="253"/>
      <c r="AH31" s="446">
        <f>data2!$C30+data2!$B30*T31</f>
        <v>17.35203586556551</v>
      </c>
      <c r="AI31" s="446">
        <f t="shared" si="2"/>
        <v>17.5</v>
      </c>
      <c r="AJ31" s="457">
        <f t="shared" si="3"/>
        <v>-0.00852719159762215</v>
      </c>
      <c r="AK31" s="446">
        <f>IF(I31&gt;=30,data2!B30*'Proposed Spec Lines'!$E$6+data2!C30,IF(G31&gt;=1.1,data2!B30*'Proposed Spec Lines'!$C$6+data2!C30,data2!B30*'Proposed Spec Lines'!$D$6+data2!C30))</f>
        <v>18.452413963878417</v>
      </c>
      <c r="AL31" s="445">
        <f>IF(I31&gt;=30,'Proposed Spec Lines'!$E$6,IF(G31&gt;=1.1,'Proposed Spec Lines'!$C$6,'Proposed Spec Lines'!$D$6))</f>
        <v>200</v>
      </c>
      <c r="AM31" s="446">
        <f t="shared" si="4"/>
        <v>18.452413963878417</v>
      </c>
      <c r="AN31" s="445">
        <f t="shared" si="5"/>
        <v>200</v>
      </c>
      <c r="AO31" s="446">
        <f>IF(O31="Y",'Proposed Spec Lines'!$G$6*AM31+'Proposed Spec Lines'!$G$5*Y31,AM31)</f>
        <v>18.452413963878417</v>
      </c>
      <c r="AP31" s="445">
        <f>IF(O31="Y",'Proposed Spec Lines'!$G$6*AN31+'Proposed Spec Lines'!$G$5*U31,AN31)</f>
        <v>200</v>
      </c>
      <c r="AR31" s="458"/>
    </row>
    <row r="32" spans="1:44" ht="11.25">
      <c r="A32" s="416">
        <v>30</v>
      </c>
      <c r="B32" s="277">
        <v>39526</v>
      </c>
      <c r="C32" s="247" t="s">
        <v>118</v>
      </c>
      <c r="D32" s="258" t="s">
        <v>119</v>
      </c>
      <c r="E32" s="242" t="s">
        <v>127</v>
      </c>
      <c r="F32" s="242" t="s">
        <v>4</v>
      </c>
      <c r="G32" s="414">
        <f>VLOOKUP($A32,'Spec Analysis_ScreenSize'!$A$2:$E$142,5,0)</f>
        <v>1.296</v>
      </c>
      <c r="H32" s="257" t="s">
        <v>147</v>
      </c>
      <c r="I32" s="387">
        <v>17</v>
      </c>
      <c r="J32" s="247">
        <v>14.5</v>
      </c>
      <c r="K32" s="247">
        <v>9.1</v>
      </c>
      <c r="L32" s="246">
        <v>131.95</v>
      </c>
      <c r="M32" s="247" t="s">
        <v>142</v>
      </c>
      <c r="N32" s="247" t="s">
        <v>149</v>
      </c>
      <c r="O32" s="242" t="s">
        <v>123</v>
      </c>
      <c r="P32" s="242" t="s">
        <v>122</v>
      </c>
      <c r="Q32" s="242" t="s">
        <v>123</v>
      </c>
      <c r="R32" s="242"/>
      <c r="S32" s="242" t="s">
        <v>148</v>
      </c>
      <c r="T32" s="247">
        <v>175</v>
      </c>
      <c r="U32" s="247">
        <v>18.3</v>
      </c>
      <c r="V32" s="247">
        <v>187</v>
      </c>
      <c r="W32" s="247">
        <v>218</v>
      </c>
      <c r="X32" s="242">
        <v>18.4</v>
      </c>
      <c r="Y32" s="242">
        <v>12.2</v>
      </c>
      <c r="Z32" s="242">
        <v>21</v>
      </c>
      <c r="AA32" s="242">
        <v>21.7</v>
      </c>
      <c r="AB32" s="242">
        <v>0.64</v>
      </c>
      <c r="AC32" s="242">
        <v>0.5</v>
      </c>
      <c r="AD32" s="247"/>
      <c r="AE32" s="247"/>
      <c r="AF32" s="247"/>
      <c r="AG32" s="247"/>
      <c r="AH32" s="446">
        <f>data2!$C31+data2!$B31*T32</f>
        <v>19.531424369268763</v>
      </c>
      <c r="AI32" s="446">
        <f t="shared" si="2"/>
        <v>18.4</v>
      </c>
      <c r="AJ32" s="457">
        <f t="shared" si="3"/>
        <v>0.0579284105387099</v>
      </c>
      <c r="AK32" s="446">
        <f>IF(I32&gt;=30,data2!B31*'Proposed Spec Lines'!$E$6+data2!C31,IF(G32&gt;=1.1,data2!B31*'Proposed Spec Lines'!$C$6+data2!C31,data2!B31*'Proposed Spec Lines'!$D$6+data2!C31))</f>
        <v>20.717682352817206</v>
      </c>
      <c r="AL32" s="445">
        <f>IF(I32&gt;=30,'Proposed Spec Lines'!$E$6,IF(G32&gt;=1.1,'Proposed Spec Lines'!$C$6,'Proposed Spec Lines'!$D$6))</f>
        <v>200</v>
      </c>
      <c r="AM32" s="446">
        <f t="shared" si="4"/>
        <v>20.717682352817206</v>
      </c>
      <c r="AN32" s="445">
        <f t="shared" si="5"/>
        <v>200</v>
      </c>
      <c r="AO32" s="446">
        <f>IF(O32="Y",'Proposed Spec Lines'!$G$6*AM32+'Proposed Spec Lines'!$G$5*Y32,AM32)</f>
        <v>20.717682352817206</v>
      </c>
      <c r="AP32" s="445">
        <f>IF(O32="Y",'Proposed Spec Lines'!$G$6*AN32+'Proposed Spec Lines'!$G$5*U32,AN32)</f>
        <v>200</v>
      </c>
      <c r="AR32" s="458"/>
    </row>
    <row r="33" spans="1:44" ht="11.25">
      <c r="A33" s="447">
        <v>31</v>
      </c>
      <c r="B33" s="277">
        <v>39527</v>
      </c>
      <c r="C33" s="247" t="s">
        <v>118</v>
      </c>
      <c r="D33" s="258" t="s">
        <v>119</v>
      </c>
      <c r="E33" s="247" t="s">
        <v>127</v>
      </c>
      <c r="F33" s="247" t="s">
        <v>2</v>
      </c>
      <c r="G33" s="414">
        <f>VLOOKUP($A33,'Spec Analysis_ScreenSize'!$A$2:$E$142,5,0)</f>
        <v>1.764</v>
      </c>
      <c r="H33" s="259" t="s">
        <v>147</v>
      </c>
      <c r="I33" s="387">
        <v>20.1</v>
      </c>
      <c r="J33" s="247">
        <v>17.1</v>
      </c>
      <c r="K33" s="247">
        <v>10.7</v>
      </c>
      <c r="L33" s="246">
        <v>182.97</v>
      </c>
      <c r="M33" s="247" t="s">
        <v>142</v>
      </c>
      <c r="N33" s="247" t="s">
        <v>146</v>
      </c>
      <c r="O33" s="247" t="s">
        <v>123</v>
      </c>
      <c r="P33" s="247" t="s">
        <v>122</v>
      </c>
      <c r="Q33" s="247" t="s">
        <v>123</v>
      </c>
      <c r="R33" s="247"/>
      <c r="S33" s="247" t="s">
        <v>148</v>
      </c>
      <c r="T33" s="247">
        <v>175</v>
      </c>
      <c r="U33" s="247">
        <v>19.7</v>
      </c>
      <c r="V33" s="247">
        <v>280</v>
      </c>
      <c r="W33" s="247">
        <v>290</v>
      </c>
      <c r="X33" s="247">
        <v>26.7</v>
      </c>
      <c r="Y33" s="247">
        <v>18.3</v>
      </c>
      <c r="Z33" s="247">
        <v>32.3</v>
      </c>
      <c r="AA33" s="247">
        <v>32.9</v>
      </c>
      <c r="AB33" s="247">
        <v>0.63</v>
      </c>
      <c r="AC33" s="247">
        <v>0.53</v>
      </c>
      <c r="AD33" s="247"/>
      <c r="AE33" s="247"/>
      <c r="AF33" s="247"/>
      <c r="AG33" s="247"/>
      <c r="AH33" s="446">
        <f>data2!$C32+data2!$B32*T33</f>
        <v>26.678204240592834</v>
      </c>
      <c r="AI33" s="446">
        <f t="shared" si="2"/>
        <v>26.7</v>
      </c>
      <c r="AJ33" s="457">
        <f t="shared" si="3"/>
        <v>-0.0008169875007554582</v>
      </c>
      <c r="AK33" s="446">
        <f>IF(I33&gt;=30,data2!B32*'Proposed Spec Lines'!$E$6+data2!C32,IF(G33&gt;=1.1,data2!B32*'Proposed Spec Lines'!$C$6+data2!C32,data2!B32*'Proposed Spec Lines'!$D$6+data2!C32))</f>
        <v>28.025647454514264</v>
      </c>
      <c r="AL33" s="445">
        <f>IF(I33&gt;=30,'Proposed Spec Lines'!$E$6,IF(G33&gt;=1.1,'Proposed Spec Lines'!$C$6,'Proposed Spec Lines'!$D$6))</f>
        <v>200</v>
      </c>
      <c r="AM33" s="446">
        <f t="shared" si="4"/>
        <v>28.025647454514264</v>
      </c>
      <c r="AN33" s="445">
        <f t="shared" si="5"/>
        <v>200</v>
      </c>
      <c r="AO33" s="446">
        <f>IF(O33="Y",'Proposed Spec Lines'!$G$6*AM33+'Proposed Spec Lines'!$G$5*Y33,AM33)</f>
        <v>28.025647454514264</v>
      </c>
      <c r="AP33" s="445">
        <f>IF(O33="Y",'Proposed Spec Lines'!$G$6*AN33+'Proposed Spec Lines'!$G$5*U33,AN33)</f>
        <v>200</v>
      </c>
      <c r="AR33" s="458"/>
    </row>
    <row r="34" spans="1:44" ht="11.25">
      <c r="A34" s="416">
        <v>32</v>
      </c>
      <c r="B34" s="277">
        <v>39526</v>
      </c>
      <c r="C34" s="247" t="s">
        <v>118</v>
      </c>
      <c r="D34" s="258" t="s">
        <v>119</v>
      </c>
      <c r="E34" s="242" t="s">
        <v>127</v>
      </c>
      <c r="F34" s="242" t="s">
        <v>4</v>
      </c>
      <c r="G34" s="414">
        <f>VLOOKUP($A34,'Spec Analysis_ScreenSize'!$A$2:$E$142,5,0)</f>
        <v>1.296</v>
      </c>
      <c r="H34" s="257" t="s">
        <v>147</v>
      </c>
      <c r="I34" s="387">
        <v>17</v>
      </c>
      <c r="J34" s="242">
        <v>14.6</v>
      </c>
      <c r="K34" s="242">
        <v>9.1</v>
      </c>
      <c r="L34" s="246">
        <v>132.86</v>
      </c>
      <c r="M34" s="247" t="s">
        <v>142</v>
      </c>
      <c r="N34" s="247" t="s">
        <v>132</v>
      </c>
      <c r="O34" s="242" t="s">
        <v>123</v>
      </c>
      <c r="P34" s="242" t="s">
        <v>122</v>
      </c>
      <c r="Q34" s="242" t="s">
        <v>123</v>
      </c>
      <c r="R34" s="242"/>
      <c r="S34" s="242" t="s">
        <v>148</v>
      </c>
      <c r="T34" s="242">
        <v>175</v>
      </c>
      <c r="U34" s="242">
        <v>18.8</v>
      </c>
      <c r="V34" s="242">
        <v>189</v>
      </c>
      <c r="W34" s="242">
        <v>216</v>
      </c>
      <c r="X34" s="242">
        <v>19</v>
      </c>
      <c r="Y34" s="242">
        <v>11.4</v>
      </c>
      <c r="Z34" s="242">
        <v>20.1</v>
      </c>
      <c r="AA34" s="242">
        <v>20.4</v>
      </c>
      <c r="AB34" s="242">
        <v>0.57</v>
      </c>
      <c r="AC34" s="242">
        <v>0.48</v>
      </c>
      <c r="AD34" s="247"/>
      <c r="AE34" s="247"/>
      <c r="AF34" s="247"/>
      <c r="AG34" s="247"/>
      <c r="AH34" s="446">
        <f>data2!$C33+data2!$B33*T34</f>
        <v>18.931469343556927</v>
      </c>
      <c r="AI34" s="446">
        <f t="shared" si="2"/>
        <v>19</v>
      </c>
      <c r="AJ34" s="457">
        <f t="shared" si="3"/>
        <v>-0.003619933307838924</v>
      </c>
      <c r="AK34" s="446">
        <f>IF(I34&gt;=30,data2!B33*'Proposed Spec Lines'!$E$6+data2!C33,IF(G34&gt;=1.1,data2!B33*'Proposed Spec Lines'!$C$6+data2!C33,data2!B33*'Proposed Spec Lines'!$D$6+data2!C33))</f>
        <v>20.123632726518316</v>
      </c>
      <c r="AL34" s="445">
        <f>IF(I34&gt;=30,'Proposed Spec Lines'!$E$6,IF(G34&gt;=1.1,'Proposed Spec Lines'!$C$6,'Proposed Spec Lines'!$D$6))</f>
        <v>200</v>
      </c>
      <c r="AM34" s="446">
        <f t="shared" si="4"/>
        <v>20.123632726518316</v>
      </c>
      <c r="AN34" s="445">
        <f t="shared" si="5"/>
        <v>200</v>
      </c>
      <c r="AO34" s="446">
        <f>IF(O34="Y",'Proposed Spec Lines'!$G$6*AM34+'Proposed Spec Lines'!$G$5*Y34,AM34)</f>
        <v>20.123632726518316</v>
      </c>
      <c r="AP34" s="445">
        <f>IF(O34="Y",'Proposed Spec Lines'!$G$6*AN34+'Proposed Spec Lines'!$G$5*U34,AN34)</f>
        <v>200</v>
      </c>
      <c r="AR34" s="458"/>
    </row>
    <row r="35" spans="1:44" ht="11.25">
      <c r="A35" s="416">
        <v>33</v>
      </c>
      <c r="B35" s="277">
        <v>39526</v>
      </c>
      <c r="C35" s="243" t="s">
        <v>118</v>
      </c>
      <c r="D35" s="258" t="s">
        <v>119</v>
      </c>
      <c r="E35" s="242" t="s">
        <v>127</v>
      </c>
      <c r="F35" s="242" t="s">
        <v>4</v>
      </c>
      <c r="G35" s="414">
        <f>VLOOKUP($A35,'Spec Analysis_ScreenSize'!$A$2:$E$142,5,0)</f>
        <v>1.296</v>
      </c>
      <c r="H35" s="257" t="s">
        <v>147</v>
      </c>
      <c r="I35" s="388">
        <v>19</v>
      </c>
      <c r="J35" s="242">
        <v>16.1</v>
      </c>
      <c r="K35" s="242">
        <v>10.2</v>
      </c>
      <c r="L35" s="246">
        <v>164.22</v>
      </c>
      <c r="M35" s="247" t="s">
        <v>142</v>
      </c>
      <c r="N35" s="247" t="s">
        <v>132</v>
      </c>
      <c r="O35" s="242" t="s">
        <v>123</v>
      </c>
      <c r="P35" s="242" t="s">
        <v>122</v>
      </c>
      <c r="Q35" s="242" t="s">
        <v>123</v>
      </c>
      <c r="R35" s="247"/>
      <c r="S35" s="242" t="s">
        <v>148</v>
      </c>
      <c r="T35" s="242">
        <v>175</v>
      </c>
      <c r="U35" s="242">
        <v>18.8</v>
      </c>
      <c r="V35" s="242">
        <v>189</v>
      </c>
      <c r="W35" s="242">
        <v>216</v>
      </c>
      <c r="X35" s="242">
        <v>19.5</v>
      </c>
      <c r="Y35" s="242">
        <v>11.4</v>
      </c>
      <c r="Z35" s="242">
        <v>26</v>
      </c>
      <c r="AA35" s="242">
        <v>26.6</v>
      </c>
      <c r="AB35" s="242">
        <v>0.83</v>
      </c>
      <c r="AC35" s="242">
        <v>0.74</v>
      </c>
      <c r="AD35" s="247"/>
      <c r="AE35" s="247"/>
      <c r="AF35" s="247"/>
      <c r="AG35" s="247"/>
      <c r="AH35" s="461">
        <f>data2!$C34+data2!$B34*T35</f>
        <v>22.780862893989816</v>
      </c>
      <c r="AI35" s="461">
        <f t="shared" si="2"/>
        <v>19.5</v>
      </c>
      <c r="AJ35" s="462">
        <f t="shared" si="3"/>
        <v>0.1440183767075563</v>
      </c>
      <c r="AK35" s="446">
        <f>IF(I35&gt;=30,data2!B34*'Proposed Spec Lines'!$E$6+data2!C34,IF(G35&gt;=1.1,data2!B34*'Proposed Spec Lines'!$C$6+data2!C34,data2!B34*'Proposed Spec Lines'!$D$6+data2!C34))</f>
        <v>24.664126623228764</v>
      </c>
      <c r="AL35" s="445">
        <f>IF(I35&gt;=30,'Proposed Spec Lines'!$E$6,IF(G35&gt;=1.1,'Proposed Spec Lines'!$C$6,'Proposed Spec Lines'!$D$6))</f>
        <v>200</v>
      </c>
      <c r="AM35" s="446">
        <f t="shared" si="4"/>
        <v>24.664126623228764</v>
      </c>
      <c r="AN35" s="445">
        <f t="shared" si="5"/>
        <v>200</v>
      </c>
      <c r="AO35" s="446">
        <f>IF(O35="Y",'Proposed Spec Lines'!$G$6*AM35+'Proposed Spec Lines'!$G$5*Y35,AM35)</f>
        <v>24.664126623228764</v>
      </c>
      <c r="AP35" s="445">
        <f>IF(O35="Y",'Proposed Spec Lines'!$G$6*AN35+'Proposed Spec Lines'!$G$5*U35,AN35)</f>
        <v>200</v>
      </c>
      <c r="AR35" s="458"/>
    </row>
    <row r="36" spans="1:44" ht="11.25">
      <c r="A36" s="447">
        <v>34</v>
      </c>
      <c r="B36" s="277">
        <v>39527</v>
      </c>
      <c r="C36" s="258" t="s">
        <v>118</v>
      </c>
      <c r="D36" s="258" t="s">
        <v>119</v>
      </c>
      <c r="E36" s="247" t="s">
        <v>127</v>
      </c>
      <c r="F36" s="247" t="s">
        <v>4</v>
      </c>
      <c r="G36" s="414">
        <f>VLOOKUP($A36,'Spec Analysis_ScreenSize'!$A$2:$E$142,5,0)</f>
        <v>1.296</v>
      </c>
      <c r="H36" s="259" t="s">
        <v>147</v>
      </c>
      <c r="I36" s="387">
        <v>19</v>
      </c>
      <c r="J36" s="247">
        <v>16.3</v>
      </c>
      <c r="K36" s="247">
        <v>9.9</v>
      </c>
      <c r="L36" s="246">
        <v>161.37</v>
      </c>
      <c r="M36" s="247" t="s">
        <v>142</v>
      </c>
      <c r="N36" s="247" t="s">
        <v>146</v>
      </c>
      <c r="O36" s="247" t="s">
        <v>123</v>
      </c>
      <c r="P36" s="247" t="s">
        <v>122</v>
      </c>
      <c r="Q36" s="247" t="s">
        <v>123</v>
      </c>
      <c r="R36" s="247"/>
      <c r="S36" s="247" t="s">
        <v>148</v>
      </c>
      <c r="T36" s="247">
        <v>175</v>
      </c>
      <c r="U36" s="247">
        <v>27.6</v>
      </c>
      <c r="V36" s="247">
        <v>265</v>
      </c>
      <c r="W36" s="247">
        <v>267</v>
      </c>
      <c r="X36" s="247">
        <v>28</v>
      </c>
      <c r="Y36" s="247">
        <v>17.1</v>
      </c>
      <c r="Z36" s="247">
        <v>35.1</v>
      </c>
      <c r="AA36" s="247">
        <v>35.5</v>
      </c>
      <c r="AB36" s="247">
        <v>0.8</v>
      </c>
      <c r="AC36" s="247">
        <v>0.7</v>
      </c>
      <c r="AD36" s="247"/>
      <c r="AE36" s="247"/>
      <c r="AF36" s="247"/>
      <c r="AG36" s="247"/>
      <c r="AH36" s="446">
        <f>data2!$C35+data2!$B35*T36</f>
        <v>28.263888025390962</v>
      </c>
      <c r="AI36" s="446">
        <f t="shared" si="2"/>
        <v>28</v>
      </c>
      <c r="AJ36" s="457">
        <f t="shared" si="3"/>
        <v>0.009336579070575753</v>
      </c>
      <c r="AK36" s="446">
        <f>IF(I36&gt;=30,data2!B35*'Proposed Spec Lines'!$E$6+data2!C35,IF(G36&gt;=1.1,data2!B35*'Proposed Spec Lines'!$C$6+data2!C35,data2!B35*'Proposed Spec Lines'!$D$6+data2!C35))</f>
        <v>30.1746162757061</v>
      </c>
      <c r="AL36" s="445">
        <f>IF(I36&gt;=30,'Proposed Spec Lines'!$E$6,IF(G36&gt;=1.1,'Proposed Spec Lines'!$C$6,'Proposed Spec Lines'!$D$6))</f>
        <v>200</v>
      </c>
      <c r="AM36" s="446">
        <f t="shared" si="4"/>
        <v>30.1746162757061</v>
      </c>
      <c r="AN36" s="445">
        <f t="shared" si="5"/>
        <v>200</v>
      </c>
      <c r="AO36" s="446">
        <f>IF(O36="Y",'Proposed Spec Lines'!$G$6*AM36+'Proposed Spec Lines'!$G$5*Y36,AM36)</f>
        <v>30.1746162757061</v>
      </c>
      <c r="AP36" s="445">
        <f>IF(O36="Y",'Proposed Spec Lines'!$G$6*AN36+'Proposed Spec Lines'!$G$5*U36,AN36)</f>
        <v>200</v>
      </c>
      <c r="AR36" s="458"/>
    </row>
    <row r="37" spans="1:44" ht="11.25">
      <c r="A37" s="416">
        <v>35</v>
      </c>
      <c r="B37" s="277">
        <v>39527</v>
      </c>
      <c r="C37" s="247" t="s">
        <v>118</v>
      </c>
      <c r="D37" s="258" t="s">
        <v>119</v>
      </c>
      <c r="E37" s="247" t="s">
        <v>127</v>
      </c>
      <c r="F37" s="247" t="s">
        <v>2</v>
      </c>
      <c r="G37" s="414">
        <f>VLOOKUP($A37,'Spec Analysis_ScreenSize'!$A$2:$E$142,5,0)</f>
        <v>1.764</v>
      </c>
      <c r="H37" s="259" t="s">
        <v>147</v>
      </c>
      <c r="I37" s="387">
        <v>20.1</v>
      </c>
      <c r="J37" s="247">
        <v>17.2</v>
      </c>
      <c r="K37" s="247">
        <v>10.8</v>
      </c>
      <c r="L37" s="246">
        <v>185.76</v>
      </c>
      <c r="M37" s="247" t="s">
        <v>142</v>
      </c>
      <c r="N37" s="247" t="s">
        <v>146</v>
      </c>
      <c r="O37" s="247" t="s">
        <v>123</v>
      </c>
      <c r="P37" s="247" t="s">
        <v>122</v>
      </c>
      <c r="Q37" s="247" t="s">
        <v>123</v>
      </c>
      <c r="R37" s="247"/>
      <c r="S37" s="247" t="s">
        <v>148</v>
      </c>
      <c r="T37" s="247">
        <v>175</v>
      </c>
      <c r="U37" s="247">
        <v>26.7</v>
      </c>
      <c r="V37" s="247">
        <v>268</v>
      </c>
      <c r="W37" s="247">
        <v>284</v>
      </c>
      <c r="X37" s="247">
        <v>29</v>
      </c>
      <c r="Y37" s="247">
        <v>20.3</v>
      </c>
      <c r="Z37" s="247">
        <v>33.3</v>
      </c>
      <c r="AA37" s="247">
        <v>33.7</v>
      </c>
      <c r="AB37" s="247">
        <v>0.76</v>
      </c>
      <c r="AC37" s="247">
        <v>0.67</v>
      </c>
      <c r="AD37" s="247"/>
      <c r="AE37" s="247"/>
      <c r="AF37" s="247"/>
      <c r="AG37" s="247"/>
      <c r="AH37" s="446">
        <f>data2!$C36+data2!$B36*T37</f>
        <v>28.368973780958996</v>
      </c>
      <c r="AI37" s="446">
        <f t="shared" si="2"/>
        <v>29</v>
      </c>
      <c r="AJ37" s="457">
        <f t="shared" si="3"/>
        <v>-0.022243533513522564</v>
      </c>
      <c r="AK37" s="446">
        <f>IF(I37&gt;=30,data2!B36*'Proposed Spec Lines'!$E$6+data2!C36,IF(G37&gt;=1.1,data2!B36*'Proposed Spec Lines'!$C$6+data2!C36,data2!B36*'Proposed Spec Lines'!$D$6+data2!C36))</f>
        <v>29.683733965392896</v>
      </c>
      <c r="AL37" s="445">
        <f>IF(I37&gt;=30,'Proposed Spec Lines'!$E$6,IF(G37&gt;=1.1,'Proposed Spec Lines'!$C$6,'Proposed Spec Lines'!$D$6))</f>
        <v>200</v>
      </c>
      <c r="AM37" s="446">
        <f t="shared" si="4"/>
        <v>29.683733965392896</v>
      </c>
      <c r="AN37" s="445">
        <f t="shared" si="5"/>
        <v>200</v>
      </c>
      <c r="AO37" s="446">
        <f>IF(O37="Y",'Proposed Spec Lines'!$G$6*AM37+'Proposed Spec Lines'!$G$5*Y37,AM37)</f>
        <v>29.683733965392896</v>
      </c>
      <c r="AP37" s="445">
        <f>IF(O37="Y",'Proposed Spec Lines'!$G$6*AN37+'Proposed Spec Lines'!$G$5*U37,AN37)</f>
        <v>200</v>
      </c>
      <c r="AR37" s="458"/>
    </row>
    <row r="38" spans="1:44" ht="11.25">
      <c r="A38" s="416">
        <v>36</v>
      </c>
      <c r="B38" s="277">
        <v>39528</v>
      </c>
      <c r="C38" s="247" t="s">
        <v>118</v>
      </c>
      <c r="D38" s="258" t="s">
        <v>119</v>
      </c>
      <c r="E38" s="247" t="s">
        <v>127</v>
      </c>
      <c r="F38" s="247" t="s">
        <v>2</v>
      </c>
      <c r="G38" s="414">
        <f>VLOOKUP($A38,'Spec Analysis_ScreenSize'!$A$2:$E$142,5,0)</f>
        <v>1.764</v>
      </c>
      <c r="H38" s="259" t="s">
        <v>147</v>
      </c>
      <c r="I38" s="387">
        <v>22</v>
      </c>
      <c r="J38" s="247">
        <v>18.7</v>
      </c>
      <c r="K38" s="247">
        <v>11.8</v>
      </c>
      <c r="L38" s="246">
        <v>220.66</v>
      </c>
      <c r="M38" s="247" t="s">
        <v>142</v>
      </c>
      <c r="N38" s="247" t="s">
        <v>132</v>
      </c>
      <c r="O38" s="247" t="s">
        <v>123</v>
      </c>
      <c r="P38" s="247" t="s">
        <v>122</v>
      </c>
      <c r="Q38" s="247" t="s">
        <v>123</v>
      </c>
      <c r="R38" s="247"/>
      <c r="S38" s="247" t="s">
        <v>148</v>
      </c>
      <c r="T38" s="247">
        <v>175</v>
      </c>
      <c r="U38" s="247">
        <v>21</v>
      </c>
      <c r="V38" s="247">
        <v>279</v>
      </c>
      <c r="W38" s="247">
        <v>288</v>
      </c>
      <c r="X38" s="247">
        <v>28</v>
      </c>
      <c r="Y38" s="247">
        <v>15.9</v>
      </c>
      <c r="Z38" s="247">
        <v>36</v>
      </c>
      <c r="AA38" s="247">
        <v>36.8</v>
      </c>
      <c r="AB38" s="247">
        <v>0.77</v>
      </c>
      <c r="AC38" s="247">
        <v>0.67</v>
      </c>
      <c r="AD38" s="247"/>
      <c r="AE38" s="247"/>
      <c r="AF38" s="247"/>
      <c r="AG38" s="247"/>
      <c r="AH38" s="446">
        <f>data2!$C37+data2!$B37*T38</f>
        <v>27.945244149323834</v>
      </c>
      <c r="AI38" s="446">
        <f t="shared" si="2"/>
        <v>28</v>
      </c>
      <c r="AJ38" s="457">
        <f t="shared" si="3"/>
        <v>-0.001959397827536638</v>
      </c>
      <c r="AK38" s="446">
        <f>IF(I38&gt;=30,data2!B37*'Proposed Spec Lines'!$E$6+data2!C37,IF(G38&gt;=1.1,data2!B37*'Proposed Spec Lines'!$C$6+data2!C37,data2!B37*'Proposed Spec Lines'!$D$6+data2!C37))</f>
        <v>29.89723756309553</v>
      </c>
      <c r="AL38" s="445">
        <f>IF(I38&gt;=30,'Proposed Spec Lines'!$E$6,IF(G38&gt;=1.1,'Proposed Spec Lines'!$C$6,'Proposed Spec Lines'!$D$6))</f>
        <v>200</v>
      </c>
      <c r="AM38" s="446">
        <f t="shared" si="4"/>
        <v>29.89723756309553</v>
      </c>
      <c r="AN38" s="445">
        <f t="shared" si="5"/>
        <v>200</v>
      </c>
      <c r="AO38" s="446">
        <f>IF(O38="Y",'Proposed Spec Lines'!$G$6*AM38+'Proposed Spec Lines'!$G$5*Y38,AM38)</f>
        <v>29.89723756309553</v>
      </c>
      <c r="AP38" s="445">
        <f>IF(O38="Y",'Proposed Spec Lines'!$G$6*AN38+'Proposed Spec Lines'!$G$5*U38,AN38)</f>
        <v>200</v>
      </c>
      <c r="AR38" s="458"/>
    </row>
    <row r="39" spans="1:44" ht="11.25">
      <c r="A39" s="447">
        <v>37</v>
      </c>
      <c r="B39" s="277">
        <v>39528</v>
      </c>
      <c r="C39" s="247" t="s">
        <v>118</v>
      </c>
      <c r="D39" s="258" t="s">
        <v>119</v>
      </c>
      <c r="E39" s="247" t="s">
        <v>127</v>
      </c>
      <c r="F39" s="247" t="s">
        <v>2</v>
      </c>
      <c r="G39" s="414">
        <f>VLOOKUP($A39,'Spec Analysis_ScreenSize'!$A$2:$E$142,5,0)</f>
        <v>1.764</v>
      </c>
      <c r="H39" s="259" t="s">
        <v>147</v>
      </c>
      <c r="I39" s="387">
        <v>22</v>
      </c>
      <c r="J39" s="247">
        <v>18.7</v>
      </c>
      <c r="K39" s="247">
        <v>11.7</v>
      </c>
      <c r="L39" s="246">
        <v>218.79</v>
      </c>
      <c r="M39" s="247" t="s">
        <v>142</v>
      </c>
      <c r="N39" s="247" t="s">
        <v>146</v>
      </c>
      <c r="O39" s="247" t="s">
        <v>123</v>
      </c>
      <c r="P39" s="247" t="s">
        <v>122</v>
      </c>
      <c r="Q39" s="247" t="s">
        <v>123</v>
      </c>
      <c r="R39" s="247"/>
      <c r="S39" s="247" t="s">
        <v>148</v>
      </c>
      <c r="T39" s="247">
        <v>175</v>
      </c>
      <c r="U39" s="247">
        <v>15.1</v>
      </c>
      <c r="V39" s="247">
        <v>208</v>
      </c>
      <c r="W39" s="247">
        <v>283</v>
      </c>
      <c r="X39" s="247">
        <v>32</v>
      </c>
      <c r="Y39" s="247">
        <v>19</v>
      </c>
      <c r="Z39" s="247">
        <v>38</v>
      </c>
      <c r="AA39" s="247">
        <v>38.7</v>
      </c>
      <c r="AB39" s="247">
        <v>0.71</v>
      </c>
      <c r="AC39" s="247">
        <v>0.62</v>
      </c>
      <c r="AD39" s="247"/>
      <c r="AE39" s="247"/>
      <c r="AF39" s="247"/>
      <c r="AG39" s="247"/>
      <c r="AH39" s="446">
        <f>data2!$C38+data2!$B38*T39</f>
        <v>32.29562743829843</v>
      </c>
      <c r="AI39" s="446">
        <f t="shared" si="2"/>
        <v>32</v>
      </c>
      <c r="AJ39" s="457">
        <f t="shared" si="3"/>
        <v>0.00915379144942253</v>
      </c>
      <c r="AK39" s="446">
        <f>IF(I39&gt;=30,data2!B38*'Proposed Spec Lines'!$E$6+data2!C38,IF(G39&gt;=1.1,data2!B38*'Proposed Spec Lines'!$C$6+data2!C38,data2!B38*'Proposed Spec Lines'!$D$6+data2!C38))</f>
        <v>34.25661917532718</v>
      </c>
      <c r="AL39" s="445">
        <f>IF(I39&gt;=30,'Proposed Spec Lines'!$E$6,IF(G39&gt;=1.1,'Proposed Spec Lines'!$C$6,'Proposed Spec Lines'!$D$6))</f>
        <v>200</v>
      </c>
      <c r="AM39" s="446">
        <f t="shared" si="4"/>
        <v>34.25661917532718</v>
      </c>
      <c r="AN39" s="445">
        <f t="shared" si="5"/>
        <v>200</v>
      </c>
      <c r="AO39" s="446">
        <f>IF(O39="Y",'Proposed Spec Lines'!$G$6*AM39+'Proposed Spec Lines'!$G$5*Y39,AM39)</f>
        <v>34.25661917532718</v>
      </c>
      <c r="AP39" s="445">
        <f>IF(O39="Y",'Proposed Spec Lines'!$G$6*AN39+'Proposed Spec Lines'!$G$5*U39,AN39)</f>
        <v>200</v>
      </c>
      <c r="AR39" s="458"/>
    </row>
    <row r="40" spans="1:44" ht="11.25">
      <c r="A40" s="416">
        <v>38</v>
      </c>
      <c r="B40" s="463">
        <v>39527</v>
      </c>
      <c r="C40" s="464" t="s">
        <v>118</v>
      </c>
      <c r="D40" s="464" t="s">
        <v>119</v>
      </c>
      <c r="E40" s="465" t="s">
        <v>127</v>
      </c>
      <c r="F40" s="465" t="s">
        <v>5</v>
      </c>
      <c r="G40" s="414">
        <f>VLOOKUP($A40,'Spec Analysis_ScreenSize'!$A$2:$E$142,5,0)</f>
        <v>1.024</v>
      </c>
      <c r="H40" s="466" t="s">
        <v>153</v>
      </c>
      <c r="I40" s="467">
        <v>15.4</v>
      </c>
      <c r="J40" s="465">
        <v>13</v>
      </c>
      <c r="K40" s="465">
        <v>8.5</v>
      </c>
      <c r="L40" s="246">
        <v>110.5</v>
      </c>
      <c r="M40" s="465"/>
      <c r="N40" s="465" t="s">
        <v>132</v>
      </c>
      <c r="O40" s="465"/>
      <c r="P40" s="465" t="s">
        <v>122</v>
      </c>
      <c r="Q40" s="465"/>
      <c r="R40" s="465"/>
      <c r="S40" s="465" t="s">
        <v>132</v>
      </c>
      <c r="T40" s="465">
        <v>175</v>
      </c>
      <c r="U40" s="465">
        <v>37</v>
      </c>
      <c r="V40" s="465">
        <v>200</v>
      </c>
      <c r="W40" s="465">
        <v>216</v>
      </c>
      <c r="X40" s="465">
        <v>12.6</v>
      </c>
      <c r="Y40" s="465">
        <v>9.1</v>
      </c>
      <c r="Z40" s="465">
        <v>13.8</v>
      </c>
      <c r="AA40" s="465">
        <v>14.1</v>
      </c>
      <c r="AB40" s="465">
        <v>0.35</v>
      </c>
      <c r="AC40" s="465">
        <v>0.21</v>
      </c>
      <c r="AD40" s="465"/>
      <c r="AE40" s="465"/>
      <c r="AF40" s="465"/>
      <c r="AG40" s="465"/>
      <c r="AH40" s="446">
        <f>data2!$C39+data2!$B39*T40</f>
        <v>12.902732621920812</v>
      </c>
      <c r="AI40" s="446">
        <f t="shared" si="2"/>
        <v>12.6</v>
      </c>
      <c r="AJ40" s="457">
        <f t="shared" si="3"/>
        <v>0.023462674984560367</v>
      </c>
      <c r="AK40" s="446">
        <f>IF(I40&gt;=30,data2!B39*'Proposed Spec Lines'!$E$6+data2!C39,IF(G40&gt;=1.1,data2!B39*'Proposed Spec Lines'!$C$6+data2!C39,data2!B39*'Proposed Spec Lines'!$D$6+data2!C39))</f>
        <v>12.902732621920812</v>
      </c>
      <c r="AL40" s="445">
        <f>IF(I40&gt;=30,'Proposed Spec Lines'!$E$6,IF(G40&gt;=1.1,'Proposed Spec Lines'!$C$6,'Proposed Spec Lines'!$D$6))</f>
        <v>175</v>
      </c>
      <c r="AM40" s="446">
        <f t="shared" si="4"/>
        <v>12.6</v>
      </c>
      <c r="AN40" s="445">
        <f t="shared" si="5"/>
        <v>175</v>
      </c>
      <c r="AO40" s="446">
        <f>IF(O40="Y",'Proposed Spec Lines'!$G$6*AM40+'Proposed Spec Lines'!$G$5*Y40,AM40)</f>
        <v>12.6</v>
      </c>
      <c r="AP40" s="445">
        <f>IF(O40="Y",'Proposed Spec Lines'!$G$6*AN40+'Proposed Spec Lines'!$G$5*U40,AN40)</f>
        <v>175</v>
      </c>
      <c r="AR40" s="458"/>
    </row>
    <row r="41" spans="1:44" ht="11.25">
      <c r="A41" s="416">
        <v>39</v>
      </c>
      <c r="B41" s="463">
        <v>39527</v>
      </c>
      <c r="C41" s="464" t="s">
        <v>118</v>
      </c>
      <c r="D41" s="464" t="s">
        <v>119</v>
      </c>
      <c r="E41" s="465" t="s">
        <v>127</v>
      </c>
      <c r="F41" s="465" t="s">
        <v>4</v>
      </c>
      <c r="G41" s="414">
        <f>VLOOKUP($A41,'Spec Analysis_ScreenSize'!$A$2:$E$142,5,0)</f>
        <v>1.296</v>
      </c>
      <c r="H41" s="466" t="s">
        <v>147</v>
      </c>
      <c r="I41" s="467">
        <v>19.05</v>
      </c>
      <c r="J41" s="465">
        <v>16</v>
      </c>
      <c r="K41" s="465">
        <v>10</v>
      </c>
      <c r="L41" s="246">
        <v>160</v>
      </c>
      <c r="M41" s="465"/>
      <c r="N41" s="465" t="s">
        <v>133</v>
      </c>
      <c r="O41" s="465"/>
      <c r="P41" s="465" t="s">
        <v>122</v>
      </c>
      <c r="Q41" s="465"/>
      <c r="R41" s="465"/>
      <c r="S41" s="465" t="s">
        <v>133</v>
      </c>
      <c r="T41" s="465">
        <v>175</v>
      </c>
      <c r="U41" s="465">
        <v>85</v>
      </c>
      <c r="V41" s="465">
        <v>295</v>
      </c>
      <c r="W41" s="465">
        <v>315</v>
      </c>
      <c r="X41" s="465">
        <v>23.5</v>
      </c>
      <c r="Y41" s="465">
        <v>16.5</v>
      </c>
      <c r="Z41" s="465">
        <v>31.4</v>
      </c>
      <c r="AA41" s="465">
        <v>32.1</v>
      </c>
      <c r="AB41" s="465">
        <v>0.61</v>
      </c>
      <c r="AC41" s="465">
        <v>0.53</v>
      </c>
      <c r="AD41" s="465"/>
      <c r="AE41" s="465"/>
      <c r="AF41" s="465"/>
      <c r="AG41" s="465"/>
      <c r="AH41" s="446">
        <f>data2!$C40+data2!$B40*T41</f>
        <v>22.976774193548387</v>
      </c>
      <c r="AI41" s="446">
        <f t="shared" si="2"/>
        <v>23.5</v>
      </c>
      <c r="AJ41" s="457">
        <f t="shared" si="3"/>
        <v>-0.02277194361767845</v>
      </c>
      <c r="AK41" s="446">
        <f>IF(I41&gt;=30,data2!B40*'Proposed Spec Lines'!$E$6+data2!C40,IF(G41&gt;=1.1,data2!B40*'Proposed Spec Lines'!$C$6+data2!C40,data2!B40*'Proposed Spec Lines'!$D$6+data2!C40))</f>
        <v>24.681612903225805</v>
      </c>
      <c r="AL41" s="445">
        <f>IF(I41&gt;=30,'Proposed Spec Lines'!$E$6,IF(G41&gt;=1.1,'Proposed Spec Lines'!$C$6,'Proposed Spec Lines'!$D$6))</f>
        <v>200</v>
      </c>
      <c r="AM41" s="446">
        <f t="shared" si="4"/>
        <v>24.681612903225805</v>
      </c>
      <c r="AN41" s="445">
        <f t="shared" si="5"/>
        <v>200</v>
      </c>
      <c r="AO41" s="446">
        <f>IF(O41="Y",'Proposed Spec Lines'!$G$6*AM41+'Proposed Spec Lines'!$G$5*Y41,AM41)</f>
        <v>24.681612903225805</v>
      </c>
      <c r="AP41" s="445">
        <f>IF(O41="Y",'Proposed Spec Lines'!$G$6*AN41+'Proposed Spec Lines'!$G$5*U41,AN41)</f>
        <v>200</v>
      </c>
      <c r="AR41" s="458"/>
    </row>
    <row r="42" spans="1:44" ht="11.25">
      <c r="A42" s="447">
        <v>40</v>
      </c>
      <c r="B42" s="463">
        <v>39527</v>
      </c>
      <c r="C42" s="464" t="s">
        <v>118</v>
      </c>
      <c r="D42" s="464" t="s">
        <v>119</v>
      </c>
      <c r="E42" s="465" t="s">
        <v>127</v>
      </c>
      <c r="F42" s="465" t="s">
        <v>2</v>
      </c>
      <c r="G42" s="414">
        <f>VLOOKUP($A42,'Spec Analysis_ScreenSize'!$A$2:$E$142,5,0)</f>
        <v>1.764</v>
      </c>
      <c r="H42" s="466" t="s">
        <v>147</v>
      </c>
      <c r="I42" s="467">
        <v>20.1</v>
      </c>
      <c r="J42" s="465">
        <v>17</v>
      </c>
      <c r="K42" s="465">
        <v>10.67</v>
      </c>
      <c r="L42" s="246">
        <v>181.39</v>
      </c>
      <c r="M42" s="465"/>
      <c r="N42" s="465" t="s">
        <v>133</v>
      </c>
      <c r="O42" s="465"/>
      <c r="P42" s="465" t="s">
        <v>122</v>
      </c>
      <c r="Q42" s="465"/>
      <c r="R42" s="465"/>
      <c r="S42" s="465" t="s">
        <v>133</v>
      </c>
      <c r="T42" s="465">
        <v>175</v>
      </c>
      <c r="U42" s="465">
        <v>63</v>
      </c>
      <c r="V42" s="465">
        <v>300</v>
      </c>
      <c r="W42" s="465">
        <v>320</v>
      </c>
      <c r="X42" s="465">
        <v>24.8</v>
      </c>
      <c r="Y42" s="465">
        <v>17.7</v>
      </c>
      <c r="Z42" s="465">
        <v>34.9</v>
      </c>
      <c r="AA42" s="465">
        <v>35.8</v>
      </c>
      <c r="AB42" s="465">
        <v>0.71</v>
      </c>
      <c r="AC42" s="465">
        <v>0.6</v>
      </c>
      <c r="AD42" s="465"/>
      <c r="AE42" s="465"/>
      <c r="AF42" s="465"/>
      <c r="AG42" s="465"/>
      <c r="AH42" s="446">
        <f>data2!$C41+data2!$B41*T42</f>
        <v>25.449485484133824</v>
      </c>
      <c r="AI42" s="446">
        <f t="shared" si="2"/>
        <v>24.8</v>
      </c>
      <c r="AJ42" s="457">
        <f t="shared" si="3"/>
        <v>0.025520574258317993</v>
      </c>
      <c r="AK42" s="446">
        <f>IF(I42&gt;=30,data2!B41*'Proposed Spec Lines'!$E$6+data2!C41,IF(G42&gt;=1.1,data2!B41*'Proposed Spec Lines'!$C$6+data2!C41,data2!B41*'Proposed Spec Lines'!$D$6+data2!C41))</f>
        <v>27.253608595441534</v>
      </c>
      <c r="AL42" s="445">
        <f>IF(I42&gt;=30,'Proposed Spec Lines'!$E$6,IF(G42&gt;=1.1,'Proposed Spec Lines'!$C$6,'Proposed Spec Lines'!$D$6))</f>
        <v>200</v>
      </c>
      <c r="AM42" s="446">
        <f t="shared" si="4"/>
        <v>27.253608595441534</v>
      </c>
      <c r="AN42" s="445">
        <f t="shared" si="5"/>
        <v>200</v>
      </c>
      <c r="AO42" s="446">
        <f>IF(O42="Y",'Proposed Spec Lines'!$G$6*AM42+'Proposed Spec Lines'!$G$5*Y42,AM42)</f>
        <v>27.253608595441534</v>
      </c>
      <c r="AP42" s="445">
        <f>IF(O42="Y",'Proposed Spec Lines'!$G$6*AN42+'Proposed Spec Lines'!$G$5*U42,AN42)</f>
        <v>200</v>
      </c>
      <c r="AR42" s="458"/>
    </row>
    <row r="43" spans="1:44" ht="11.25">
      <c r="A43" s="416">
        <v>41</v>
      </c>
      <c r="B43" s="463">
        <v>39527</v>
      </c>
      <c r="C43" s="464" t="s">
        <v>118</v>
      </c>
      <c r="D43" s="464" t="s">
        <v>119</v>
      </c>
      <c r="E43" s="465" t="s">
        <v>127</v>
      </c>
      <c r="F43" s="465" t="s">
        <v>2</v>
      </c>
      <c r="G43" s="414">
        <f>VLOOKUP($A43,'Spec Analysis_ScreenSize'!$A$2:$E$142,5,0)</f>
        <v>1.764</v>
      </c>
      <c r="H43" s="466" t="s">
        <v>147</v>
      </c>
      <c r="I43" s="467">
        <v>22</v>
      </c>
      <c r="J43" s="465">
        <v>18.65</v>
      </c>
      <c r="K43" s="465">
        <v>11.66</v>
      </c>
      <c r="L43" s="246">
        <v>217.45899999999997</v>
      </c>
      <c r="M43" s="465"/>
      <c r="N43" s="465" t="s">
        <v>133</v>
      </c>
      <c r="O43" s="465"/>
      <c r="P43" s="465" t="s">
        <v>122</v>
      </c>
      <c r="Q43" s="465"/>
      <c r="R43" s="465"/>
      <c r="S43" s="465" t="s">
        <v>133</v>
      </c>
      <c r="T43" s="465">
        <v>175</v>
      </c>
      <c r="U43" s="465">
        <v>74</v>
      </c>
      <c r="V43" s="465">
        <v>290</v>
      </c>
      <c r="W43" s="465">
        <v>305</v>
      </c>
      <c r="X43" s="465">
        <v>25.9</v>
      </c>
      <c r="Y43" s="465">
        <v>17.9</v>
      </c>
      <c r="Z43" s="465">
        <v>35.5</v>
      </c>
      <c r="AA43" s="465">
        <v>37.7</v>
      </c>
      <c r="AB43" s="465">
        <v>0.69</v>
      </c>
      <c r="AC43" s="465">
        <v>0.53</v>
      </c>
      <c r="AD43" s="465"/>
      <c r="AE43" s="465"/>
      <c r="AF43" s="465"/>
      <c r="AG43" s="465"/>
      <c r="AH43" s="446">
        <f>data2!$C42+data2!$B42*T43</f>
        <v>26.214043025439647</v>
      </c>
      <c r="AI43" s="446">
        <f t="shared" si="2"/>
        <v>25.9</v>
      </c>
      <c r="AJ43" s="457">
        <f t="shared" si="3"/>
        <v>0.011979953841339265</v>
      </c>
      <c r="AK43" s="446">
        <f>IF(I43&gt;=30,data2!B42*'Proposed Spec Lines'!$E$6+data2!C42,IF(G43&gt;=1.1,data2!B42*'Proposed Spec Lines'!$C$6+data2!C42,data2!B42*'Proposed Spec Lines'!$D$6+data2!C42))</f>
        <v>28.32234647999545</v>
      </c>
      <c r="AL43" s="445">
        <f>IF(I43&gt;=30,'Proposed Spec Lines'!$E$6,IF(G43&gt;=1.1,'Proposed Spec Lines'!$C$6,'Proposed Spec Lines'!$D$6))</f>
        <v>200</v>
      </c>
      <c r="AM43" s="446">
        <f t="shared" si="4"/>
        <v>28.32234647999545</v>
      </c>
      <c r="AN43" s="445">
        <f t="shared" si="5"/>
        <v>200</v>
      </c>
      <c r="AO43" s="446">
        <f>IF(O43="Y",'Proposed Spec Lines'!$G$6*AM43+'Proposed Spec Lines'!$G$5*Y43,AM43)</f>
        <v>28.32234647999545</v>
      </c>
      <c r="AP43" s="445">
        <f>IF(O43="Y",'Proposed Spec Lines'!$G$6*AN43+'Proposed Spec Lines'!$G$5*U43,AN43)</f>
        <v>200</v>
      </c>
      <c r="AR43" s="458"/>
    </row>
    <row r="44" spans="1:44" ht="11.25">
      <c r="A44" s="416">
        <v>42</v>
      </c>
      <c r="B44" s="463">
        <v>39527</v>
      </c>
      <c r="C44" s="464" t="s">
        <v>118</v>
      </c>
      <c r="D44" s="464" t="s">
        <v>119</v>
      </c>
      <c r="E44" s="465" t="s">
        <v>127</v>
      </c>
      <c r="F44" s="465" t="s">
        <v>1</v>
      </c>
      <c r="G44" s="414">
        <f>VLOOKUP($A44,'Spec Analysis_ScreenSize'!$A$2:$E$142,5,0)</f>
        <v>2.304</v>
      </c>
      <c r="H44" s="468" t="s">
        <v>147</v>
      </c>
      <c r="I44" s="467">
        <v>24</v>
      </c>
      <c r="J44" s="465">
        <v>20.4</v>
      </c>
      <c r="K44" s="465">
        <v>12.75</v>
      </c>
      <c r="L44" s="246">
        <v>260.1</v>
      </c>
      <c r="M44" s="465"/>
      <c r="N44" s="465" t="s">
        <v>133</v>
      </c>
      <c r="O44" s="465"/>
      <c r="P44" s="465" t="s">
        <v>122</v>
      </c>
      <c r="Q44" s="465"/>
      <c r="R44" s="465"/>
      <c r="S44" s="465" t="s">
        <v>133</v>
      </c>
      <c r="T44" s="465">
        <v>175</v>
      </c>
      <c r="U44" s="465">
        <v>82</v>
      </c>
      <c r="V44" s="465">
        <v>400</v>
      </c>
      <c r="W44" s="465">
        <v>456</v>
      </c>
      <c r="X44" s="465">
        <v>54.6</v>
      </c>
      <c r="Y44" s="465">
        <v>37.5</v>
      </c>
      <c r="Z44" s="465">
        <v>80.1</v>
      </c>
      <c r="AA44" s="465">
        <v>88.4</v>
      </c>
      <c r="AB44" s="465">
        <v>0.67</v>
      </c>
      <c r="AC44" s="465">
        <v>0.52</v>
      </c>
      <c r="AD44" s="465"/>
      <c r="AE44" s="465"/>
      <c r="AF44" s="465"/>
      <c r="AG44" s="465"/>
      <c r="AH44" s="446">
        <f>data2!$C43+data2!$B43*T44</f>
        <v>51.68279184352372</v>
      </c>
      <c r="AI44" s="446">
        <f t="shared" si="2"/>
        <v>54.6</v>
      </c>
      <c r="AJ44" s="457">
        <f t="shared" si="3"/>
        <v>-0.056444477018743625</v>
      </c>
      <c r="AK44" s="446">
        <f>IF(I44&gt;=30,data2!B43*'Proposed Spec Lines'!$E$6+data2!C43,IF(G44&gt;=1.1,data2!B43*'Proposed Spec Lines'!$C$6+data2!C43,data2!B43*'Proposed Spec Lines'!$D$6+data2!C43))</f>
        <v>54.943617063009505</v>
      </c>
      <c r="AL44" s="445">
        <f>IF(I44&gt;=30,'Proposed Spec Lines'!$E$6,IF(G44&gt;=1.1,'Proposed Spec Lines'!$C$6,'Proposed Spec Lines'!$D$6))</f>
        <v>200</v>
      </c>
      <c r="AM44" s="446">
        <f t="shared" si="4"/>
        <v>54.943617063009505</v>
      </c>
      <c r="AN44" s="445">
        <f t="shared" si="5"/>
        <v>200</v>
      </c>
      <c r="AO44" s="446">
        <f>IF(O44="Y",'Proposed Spec Lines'!$G$6*AM44+'Proposed Spec Lines'!$G$5*Y44,AM44)</f>
        <v>54.943617063009505</v>
      </c>
      <c r="AP44" s="445">
        <f>IF(O44="Y",'Proposed Spec Lines'!$G$6*AN44+'Proposed Spec Lines'!$G$5*U44,AN44)</f>
        <v>200</v>
      </c>
      <c r="AR44" s="458"/>
    </row>
    <row r="45" spans="1:44" s="421" customFormat="1" ht="22.5">
      <c r="A45" s="447">
        <v>43</v>
      </c>
      <c r="B45" s="286">
        <v>39439</v>
      </c>
      <c r="C45" s="243" t="s">
        <v>118</v>
      </c>
      <c r="D45" s="258" t="s">
        <v>126</v>
      </c>
      <c r="E45" s="242"/>
      <c r="F45" s="242" t="s">
        <v>309</v>
      </c>
      <c r="G45" s="414">
        <f>1152*864/10^6</f>
        <v>0.995328</v>
      </c>
      <c r="H45" s="273" t="s">
        <v>151</v>
      </c>
      <c r="I45" s="388">
        <v>16</v>
      </c>
      <c r="J45" s="246">
        <v>12.799</v>
      </c>
      <c r="K45" s="246">
        <v>9.598</v>
      </c>
      <c r="L45" s="246">
        <v>122.844802</v>
      </c>
      <c r="M45" s="247"/>
      <c r="N45" s="247" t="s">
        <v>132</v>
      </c>
      <c r="O45" s="242" t="s">
        <v>123</v>
      </c>
      <c r="P45" s="242" t="s">
        <v>122</v>
      </c>
      <c r="Q45" s="242" t="s">
        <v>123</v>
      </c>
      <c r="R45" s="242"/>
      <c r="S45" s="242" t="s">
        <v>152</v>
      </c>
      <c r="T45" s="242">
        <v>100</v>
      </c>
      <c r="U45" s="242"/>
      <c r="V45" s="242">
        <v>109</v>
      </c>
      <c r="W45" s="242">
        <v>109</v>
      </c>
      <c r="X45" s="242">
        <v>60.9</v>
      </c>
      <c r="Y45" s="242">
        <v>48.5</v>
      </c>
      <c r="Z45" s="242">
        <v>61.5</v>
      </c>
      <c r="AA45" s="242">
        <v>61.5</v>
      </c>
      <c r="AB45" s="242">
        <v>2.3</v>
      </c>
      <c r="AC45" s="242">
        <v>0.45</v>
      </c>
      <c r="AD45" s="247"/>
      <c r="AE45" s="247"/>
      <c r="AF45" s="247"/>
      <c r="AG45" s="247"/>
      <c r="AH45" s="469" t="s">
        <v>299</v>
      </c>
      <c r="AI45" s="469" t="s">
        <v>299</v>
      </c>
      <c r="AJ45" s="469" t="s">
        <v>299</v>
      </c>
      <c r="AK45" s="469" t="s">
        <v>299</v>
      </c>
      <c r="AL45" s="424">
        <f>T45</f>
        <v>100</v>
      </c>
      <c r="AM45" s="422">
        <f>X45</f>
        <v>60.9</v>
      </c>
      <c r="AN45" s="424">
        <f t="shared" si="5"/>
        <v>100</v>
      </c>
      <c r="AO45" s="446">
        <f>IF(O45="Y",'Proposed Spec Lines'!$G$6*AM45+'Proposed Spec Lines'!$G$5*Y45,AM45)</f>
        <v>60.9</v>
      </c>
      <c r="AP45" s="445">
        <f>IF(O45="Y",'Proposed Spec Lines'!$G$6*AN45+'Proposed Spec Lines'!$G$5*U45,AN45)</f>
        <v>100</v>
      </c>
      <c r="AR45" s="425"/>
    </row>
    <row r="46" spans="1:44" ht="11.25">
      <c r="A46" s="416">
        <v>44</v>
      </c>
      <c r="B46" s="463">
        <v>39527</v>
      </c>
      <c r="C46" s="464" t="s">
        <v>118</v>
      </c>
      <c r="D46" s="464" t="s">
        <v>119</v>
      </c>
      <c r="E46" s="465" t="s">
        <v>127</v>
      </c>
      <c r="F46" s="465" t="s">
        <v>3</v>
      </c>
      <c r="G46" s="414">
        <f>VLOOKUP($A46,'Spec Analysis_ScreenSize'!$A$2:$E$142,5,0)</f>
        <v>1.31072</v>
      </c>
      <c r="H46" s="470" t="s">
        <v>151</v>
      </c>
      <c r="I46" s="467">
        <v>17</v>
      </c>
      <c r="J46" s="465">
        <v>13.3</v>
      </c>
      <c r="K46" s="465">
        <v>10.64</v>
      </c>
      <c r="L46" s="246">
        <v>141.51200000000003</v>
      </c>
      <c r="M46" s="465"/>
      <c r="N46" s="465" t="s">
        <v>132</v>
      </c>
      <c r="O46" s="465"/>
      <c r="P46" s="465" t="s">
        <v>122</v>
      </c>
      <c r="Q46" s="465"/>
      <c r="R46" s="465"/>
      <c r="S46" s="465" t="s">
        <v>132</v>
      </c>
      <c r="T46" s="465">
        <v>175</v>
      </c>
      <c r="U46" s="465">
        <v>62</v>
      </c>
      <c r="V46" s="465">
        <v>251</v>
      </c>
      <c r="W46" s="465">
        <v>292</v>
      </c>
      <c r="X46" s="465">
        <v>23.8</v>
      </c>
      <c r="Y46" s="465">
        <v>15.4</v>
      </c>
      <c r="Z46" s="465">
        <v>29.2</v>
      </c>
      <c r="AA46" s="465">
        <v>30.1</v>
      </c>
      <c r="AB46" s="465">
        <v>0.73</v>
      </c>
      <c r="AC46" s="465">
        <v>0.5</v>
      </c>
      <c r="AD46" s="465"/>
      <c r="AE46" s="465"/>
      <c r="AF46" s="465"/>
      <c r="AG46" s="465"/>
      <c r="AH46" s="446">
        <f>data2!$C45+data2!$B45*T46</f>
        <v>23.299218188940394</v>
      </c>
      <c r="AI46" s="446">
        <f t="shared" si="2"/>
        <v>23.8</v>
      </c>
      <c r="AJ46" s="457">
        <f t="shared" si="3"/>
        <v>-0.021493502786171452</v>
      </c>
      <c r="AK46" s="446">
        <f>IF(I46&gt;=30,data2!B45*'Proposed Spec Lines'!$E$6+data2!C45,IF(G46&gt;=1.1,data2!B45*'Proposed Spec Lines'!$C$6+data2!C45,data2!B45*'Proposed Spec Lines'!$D$6+data2!C45))</f>
        <v>24.956445452764903</v>
      </c>
      <c r="AL46" s="445">
        <f>IF(I46&gt;=30,'Proposed Spec Lines'!$E$6,IF(G46&gt;=1.1,'Proposed Spec Lines'!$C$6,'Proposed Spec Lines'!$D$6))</f>
        <v>200</v>
      </c>
      <c r="AM46" s="446">
        <f t="shared" si="4"/>
        <v>24.956445452764903</v>
      </c>
      <c r="AN46" s="445">
        <f t="shared" si="5"/>
        <v>200</v>
      </c>
      <c r="AO46" s="446">
        <f>IF(O46="Y",'Proposed Spec Lines'!$G$6*AM46+'Proposed Spec Lines'!$G$5*Y46,AM46)</f>
        <v>24.956445452764903</v>
      </c>
      <c r="AP46" s="445">
        <f>IF(O46="Y",'Proposed Spec Lines'!$G$6*AN46+'Proposed Spec Lines'!$G$5*U46,AN46)</f>
        <v>200</v>
      </c>
      <c r="AR46" s="458"/>
    </row>
    <row r="47" spans="1:44" ht="11.25">
      <c r="A47" s="416">
        <v>45</v>
      </c>
      <c r="B47" s="463">
        <v>39527</v>
      </c>
      <c r="C47" s="464" t="s">
        <v>118</v>
      </c>
      <c r="D47" s="464" t="s">
        <v>119</v>
      </c>
      <c r="E47" s="465" t="s">
        <v>127</v>
      </c>
      <c r="F47" s="465" t="s">
        <v>4</v>
      </c>
      <c r="G47" s="414">
        <f>VLOOKUP($A47,'Spec Analysis_ScreenSize'!$A$2:$E$142,5,0)</f>
        <v>1.296</v>
      </c>
      <c r="H47" s="466" t="s">
        <v>147</v>
      </c>
      <c r="I47" s="467">
        <v>19.05</v>
      </c>
      <c r="J47" s="465">
        <v>16</v>
      </c>
      <c r="K47" s="465">
        <v>10</v>
      </c>
      <c r="L47" s="246">
        <v>160</v>
      </c>
      <c r="M47" s="465"/>
      <c r="N47" s="465" t="s">
        <v>133</v>
      </c>
      <c r="O47" s="465"/>
      <c r="P47" s="465" t="s">
        <v>122</v>
      </c>
      <c r="Q47" s="465"/>
      <c r="R47" s="465"/>
      <c r="S47" s="465" t="s">
        <v>133</v>
      </c>
      <c r="T47" s="465">
        <v>175</v>
      </c>
      <c r="U47" s="465">
        <v>90</v>
      </c>
      <c r="V47" s="465">
        <v>298</v>
      </c>
      <c r="W47" s="465">
        <v>320</v>
      </c>
      <c r="X47" s="465">
        <v>23.4</v>
      </c>
      <c r="Y47" s="465">
        <v>16.8</v>
      </c>
      <c r="Z47" s="465">
        <v>31.4</v>
      </c>
      <c r="AA47" s="465">
        <v>32.2</v>
      </c>
      <c r="AB47" s="465">
        <v>0.62</v>
      </c>
      <c r="AC47" s="465">
        <v>0.52</v>
      </c>
      <c r="AD47" s="465"/>
      <c r="AE47" s="465"/>
      <c r="AF47" s="465"/>
      <c r="AG47" s="465"/>
      <c r="AH47" s="446">
        <f>data2!$C46+data2!$B46*T47</f>
        <v>22.873121612260494</v>
      </c>
      <c r="AI47" s="446">
        <f t="shared" si="2"/>
        <v>23.4</v>
      </c>
      <c r="AJ47" s="457">
        <f t="shared" si="3"/>
        <v>-0.023034826495089596</v>
      </c>
      <c r="AK47" s="446">
        <f>IF(I47&gt;=30,data2!B46*'Proposed Spec Lines'!$E$6+data2!C46,IF(G47&gt;=1.1,data2!B46*'Proposed Spec Lines'!$C$6+data2!C46,data2!B46*'Proposed Spec Lines'!$D$6+data2!C46))</f>
        <v>24.55447592250066</v>
      </c>
      <c r="AL47" s="445">
        <f>IF(I47&gt;=30,'Proposed Spec Lines'!$E$6,IF(G47&gt;=1.1,'Proposed Spec Lines'!$C$6,'Proposed Spec Lines'!$D$6))</f>
        <v>200</v>
      </c>
      <c r="AM47" s="446">
        <f t="shared" si="4"/>
        <v>24.55447592250066</v>
      </c>
      <c r="AN47" s="445">
        <f t="shared" si="5"/>
        <v>200</v>
      </c>
      <c r="AO47" s="446">
        <f>IF(O47="Y",'Proposed Spec Lines'!$G$6*AM47+'Proposed Spec Lines'!$G$5*Y47,AM47)</f>
        <v>24.55447592250066</v>
      </c>
      <c r="AP47" s="445">
        <f>IF(O47="Y",'Proposed Spec Lines'!$G$6*AN47+'Proposed Spec Lines'!$G$5*U47,AN47)</f>
        <v>200</v>
      </c>
      <c r="AR47" s="458"/>
    </row>
    <row r="48" spans="1:44" ht="11.25">
      <c r="A48" s="447">
        <v>46</v>
      </c>
      <c r="B48" s="463">
        <v>39527</v>
      </c>
      <c r="C48" s="464" t="s">
        <v>118</v>
      </c>
      <c r="D48" s="464" t="s">
        <v>119</v>
      </c>
      <c r="E48" s="465" t="s">
        <v>127</v>
      </c>
      <c r="F48" s="465" t="s">
        <v>2</v>
      </c>
      <c r="G48" s="414">
        <f>VLOOKUP($A48,'Spec Analysis_ScreenSize'!$A$2:$E$142,5,0)</f>
        <v>1.764</v>
      </c>
      <c r="H48" s="466" t="s">
        <v>147</v>
      </c>
      <c r="I48" s="467">
        <v>20.1</v>
      </c>
      <c r="J48" s="465">
        <v>17</v>
      </c>
      <c r="K48" s="465">
        <v>10.67</v>
      </c>
      <c r="L48" s="246">
        <v>181.39</v>
      </c>
      <c r="M48" s="465"/>
      <c r="N48" s="465" t="s">
        <v>133</v>
      </c>
      <c r="O48" s="465"/>
      <c r="P48" s="465" t="s">
        <v>122</v>
      </c>
      <c r="Q48" s="465"/>
      <c r="R48" s="465"/>
      <c r="S48" s="465" t="s">
        <v>133</v>
      </c>
      <c r="T48" s="465">
        <v>175</v>
      </c>
      <c r="U48" s="465">
        <v>64</v>
      </c>
      <c r="V48" s="465">
        <v>301</v>
      </c>
      <c r="W48" s="465">
        <v>323</v>
      </c>
      <c r="X48" s="465">
        <v>24.6</v>
      </c>
      <c r="Y48" s="465">
        <v>17.8</v>
      </c>
      <c r="Z48" s="465">
        <v>34.9</v>
      </c>
      <c r="AA48" s="465">
        <v>35.7</v>
      </c>
      <c r="AB48" s="465">
        <v>0.71</v>
      </c>
      <c r="AC48" s="465">
        <v>0.59</v>
      </c>
      <c r="AD48" s="465"/>
      <c r="AE48" s="465"/>
      <c r="AF48" s="465"/>
      <c r="AG48" s="465"/>
      <c r="AH48" s="446">
        <f>data2!$C47+data2!$B47*T48</f>
        <v>25.342798630885618</v>
      </c>
      <c r="AI48" s="446">
        <f t="shared" si="2"/>
        <v>24.6</v>
      </c>
      <c r="AJ48" s="457">
        <f t="shared" si="3"/>
        <v>0.0293100474696728</v>
      </c>
      <c r="AK48" s="446">
        <f>IF(I48&gt;=30,data2!B47*'Proposed Spec Lines'!$E$6+data2!C47,IF(G48&gt;=1.1,data2!B47*'Proposed Spec Lines'!$C$6+data2!C47,data2!B47*'Proposed Spec Lines'!$D$6+data2!C47))</f>
        <v>27.12635775304168</v>
      </c>
      <c r="AL48" s="445">
        <f>IF(I48&gt;=30,'Proposed Spec Lines'!$E$6,IF(G48&gt;=1.1,'Proposed Spec Lines'!$C$6,'Proposed Spec Lines'!$D$6))</f>
        <v>200</v>
      </c>
      <c r="AM48" s="446">
        <f t="shared" si="4"/>
        <v>27.12635775304168</v>
      </c>
      <c r="AN48" s="445">
        <f t="shared" si="5"/>
        <v>200</v>
      </c>
      <c r="AO48" s="446">
        <f>IF(O48="Y",'Proposed Spec Lines'!$G$6*AM48+'Proposed Spec Lines'!$G$5*Y48,AM48)</f>
        <v>27.12635775304168</v>
      </c>
      <c r="AP48" s="445">
        <f>IF(O48="Y",'Proposed Spec Lines'!$G$6*AN48+'Proposed Spec Lines'!$G$5*U48,AN48)</f>
        <v>200</v>
      </c>
      <c r="AR48" s="458"/>
    </row>
    <row r="49" spans="1:44" ht="11.25">
      <c r="A49" s="416">
        <v>47</v>
      </c>
      <c r="B49" s="463">
        <v>39527</v>
      </c>
      <c r="C49" s="464" t="s">
        <v>118</v>
      </c>
      <c r="D49" s="464" t="s">
        <v>119</v>
      </c>
      <c r="E49" s="465" t="s">
        <v>127</v>
      </c>
      <c r="F49" s="465" t="s">
        <v>2</v>
      </c>
      <c r="G49" s="414">
        <f>VLOOKUP($A49,'Spec Analysis_ScreenSize'!$A$2:$E$142,5,0)</f>
        <v>1.764</v>
      </c>
      <c r="H49" s="466" t="s">
        <v>147</v>
      </c>
      <c r="I49" s="467">
        <v>22</v>
      </c>
      <c r="J49" s="465">
        <v>18.65</v>
      </c>
      <c r="K49" s="465">
        <v>11.66</v>
      </c>
      <c r="L49" s="246">
        <v>217.45899999999997</v>
      </c>
      <c r="M49" s="465"/>
      <c r="N49" s="465" t="s">
        <v>133</v>
      </c>
      <c r="O49" s="465"/>
      <c r="P49" s="465" t="s">
        <v>122</v>
      </c>
      <c r="Q49" s="465"/>
      <c r="R49" s="465"/>
      <c r="S49" s="465" t="s">
        <v>133</v>
      </c>
      <c r="T49" s="465">
        <v>175</v>
      </c>
      <c r="U49" s="465">
        <v>75</v>
      </c>
      <c r="V49" s="465">
        <v>290</v>
      </c>
      <c r="W49" s="465">
        <v>306</v>
      </c>
      <c r="X49" s="465">
        <v>26.1</v>
      </c>
      <c r="Y49" s="465">
        <v>18.1</v>
      </c>
      <c r="Z49" s="465">
        <v>35.4</v>
      </c>
      <c r="AA49" s="465">
        <v>37.8</v>
      </c>
      <c r="AB49" s="465">
        <v>0.68</v>
      </c>
      <c r="AC49" s="465">
        <v>0.53</v>
      </c>
      <c r="AD49" s="465"/>
      <c r="AE49" s="465"/>
      <c r="AF49" s="465"/>
      <c r="AG49" s="465"/>
      <c r="AH49" s="446">
        <f>data2!$C48+data2!$B48*T49</f>
        <v>26.301791368342982</v>
      </c>
      <c r="AI49" s="446">
        <f t="shared" si="2"/>
        <v>26.1</v>
      </c>
      <c r="AJ49" s="457">
        <f t="shared" si="3"/>
        <v>0.0076721530300730215</v>
      </c>
      <c r="AK49" s="446">
        <f>IF(I49&gt;=30,data2!B48*'Proposed Spec Lines'!$E$6+data2!C48,IF(G49&gt;=1.1,data2!B48*'Proposed Spec Lines'!$C$6+data2!C48,data2!B48*'Proposed Spec Lines'!$D$6+data2!C48))</f>
        <v>28.389605499614913</v>
      </c>
      <c r="AL49" s="445">
        <f>IF(I49&gt;=30,'Proposed Spec Lines'!$E$6,IF(G49&gt;=1.1,'Proposed Spec Lines'!$C$6,'Proposed Spec Lines'!$D$6))</f>
        <v>200</v>
      </c>
      <c r="AM49" s="446">
        <f t="shared" si="4"/>
        <v>28.389605499614913</v>
      </c>
      <c r="AN49" s="445">
        <f t="shared" si="5"/>
        <v>200</v>
      </c>
      <c r="AO49" s="446">
        <f>IF(O49="Y",'Proposed Spec Lines'!$G$6*AM49+'Proposed Spec Lines'!$G$5*Y49,AM49)</f>
        <v>28.389605499614913</v>
      </c>
      <c r="AP49" s="445">
        <f>IF(O49="Y",'Proposed Spec Lines'!$G$6*AN49+'Proposed Spec Lines'!$G$5*U49,AN49)</f>
        <v>200</v>
      </c>
      <c r="AR49" s="458"/>
    </row>
    <row r="50" spans="1:44" ht="11.25">
      <c r="A50" s="416">
        <v>48</v>
      </c>
      <c r="B50" s="463">
        <v>39527</v>
      </c>
      <c r="C50" s="464" t="s">
        <v>118</v>
      </c>
      <c r="D50" s="464" t="s">
        <v>119</v>
      </c>
      <c r="E50" s="465" t="s">
        <v>127</v>
      </c>
      <c r="F50" s="465" t="s">
        <v>1</v>
      </c>
      <c r="G50" s="414">
        <f>VLOOKUP($A50,'Spec Analysis_ScreenSize'!$A$2:$E$142,5,0)</f>
        <v>2.304</v>
      </c>
      <c r="H50" s="468" t="s">
        <v>147</v>
      </c>
      <c r="I50" s="467">
        <v>24</v>
      </c>
      <c r="J50" s="465">
        <v>20.4</v>
      </c>
      <c r="K50" s="465">
        <v>12.75</v>
      </c>
      <c r="L50" s="246">
        <v>260.1</v>
      </c>
      <c r="M50" s="465"/>
      <c r="N50" s="465" t="s">
        <v>133</v>
      </c>
      <c r="O50" s="465"/>
      <c r="P50" s="465" t="s">
        <v>122</v>
      </c>
      <c r="Q50" s="465"/>
      <c r="R50" s="465"/>
      <c r="S50" s="465" t="s">
        <v>133</v>
      </c>
      <c r="T50" s="465">
        <v>175</v>
      </c>
      <c r="U50" s="465">
        <v>80</v>
      </c>
      <c r="V50" s="465">
        <v>298</v>
      </c>
      <c r="W50" s="465">
        <v>434</v>
      </c>
      <c r="X50" s="465">
        <v>54.2</v>
      </c>
      <c r="Y50" s="465">
        <v>37.4</v>
      </c>
      <c r="Z50" s="465">
        <v>79.9</v>
      </c>
      <c r="AA50" s="465">
        <v>87.6</v>
      </c>
      <c r="AB50" s="465">
        <v>0.68</v>
      </c>
      <c r="AC50" s="465">
        <v>0.51</v>
      </c>
      <c r="AD50" s="465"/>
      <c r="AE50" s="465"/>
      <c r="AF50" s="465"/>
      <c r="AG50" s="465"/>
      <c r="AH50" s="446">
        <f>data2!$C49+data2!$B49*T50</f>
        <v>54.23974434743836</v>
      </c>
      <c r="AI50" s="446">
        <f t="shared" si="2"/>
        <v>54.2</v>
      </c>
      <c r="AJ50" s="457">
        <f t="shared" si="3"/>
        <v>0.0007327532221348848</v>
      </c>
      <c r="AK50" s="446">
        <f>IF(I50&gt;=30,data2!B49*'Proposed Spec Lines'!$E$6+data2!C49,IF(G50&gt;=1.1,data2!B49*'Proposed Spec Lines'!$C$6+data2!C49,data2!B49*'Proposed Spec Lines'!$D$6+data2!C49))</f>
        <v>57.91056513230305</v>
      </c>
      <c r="AL50" s="445">
        <f>IF(I50&gt;=30,'Proposed Spec Lines'!$E$6,IF(G50&gt;=1.1,'Proposed Spec Lines'!$C$6,'Proposed Spec Lines'!$D$6))</f>
        <v>200</v>
      </c>
      <c r="AM50" s="446">
        <f t="shared" si="4"/>
        <v>57.91056513230305</v>
      </c>
      <c r="AN50" s="445">
        <f t="shared" si="5"/>
        <v>200</v>
      </c>
      <c r="AO50" s="446">
        <f>IF(O50="Y",'Proposed Spec Lines'!$G$6*AM50+'Proposed Spec Lines'!$G$5*Y50,AM50)</f>
        <v>57.91056513230305</v>
      </c>
      <c r="AP50" s="445">
        <f>IF(O50="Y",'Proposed Spec Lines'!$G$6*AN50+'Proposed Spec Lines'!$G$5*U50,AN50)</f>
        <v>200</v>
      </c>
      <c r="AR50" s="458"/>
    </row>
    <row r="51" spans="1:44" ht="22.5">
      <c r="A51" s="447">
        <v>49</v>
      </c>
      <c r="B51" s="287">
        <v>39504</v>
      </c>
      <c r="C51" s="281" t="s">
        <v>118</v>
      </c>
      <c r="D51" s="244" t="s">
        <v>119</v>
      </c>
      <c r="E51" s="280" t="s">
        <v>120</v>
      </c>
      <c r="F51" s="280" t="s">
        <v>17</v>
      </c>
      <c r="G51" s="414">
        <f>VLOOKUP($A51,'Spec Analysis_ScreenSize'!$A$2:$E$142,5,0)</f>
        <v>2.0736</v>
      </c>
      <c r="H51" s="282">
        <v>0.6729166666666666</v>
      </c>
      <c r="I51" s="389">
        <v>46</v>
      </c>
      <c r="J51" s="283">
        <v>44.17</v>
      </c>
      <c r="K51" s="283">
        <v>27.68</v>
      </c>
      <c r="L51" s="246">
        <v>1222.6256</v>
      </c>
      <c r="M51" s="279"/>
      <c r="N51" s="279" t="s">
        <v>154</v>
      </c>
      <c r="O51" s="280"/>
      <c r="P51" s="280"/>
      <c r="Q51" s="280"/>
      <c r="R51" s="280" t="s">
        <v>155</v>
      </c>
      <c r="S51" s="280" t="s">
        <v>156</v>
      </c>
      <c r="T51" s="280">
        <v>175</v>
      </c>
      <c r="U51" s="280">
        <v>130.2</v>
      </c>
      <c r="V51" s="280">
        <v>270</v>
      </c>
      <c r="W51" s="280">
        <v>552</v>
      </c>
      <c r="X51" s="280">
        <v>115.9</v>
      </c>
      <c r="Y51" s="280">
        <v>100.3</v>
      </c>
      <c r="Z51" s="280">
        <v>176</v>
      </c>
      <c r="AA51" s="280">
        <v>293.4</v>
      </c>
      <c r="AB51" s="280">
        <v>2.91</v>
      </c>
      <c r="AC51" s="280">
        <v>0.82</v>
      </c>
      <c r="AD51" s="279"/>
      <c r="AE51" s="279"/>
      <c r="AF51" s="279"/>
      <c r="AG51" s="279"/>
      <c r="AH51" s="446">
        <f>data2!$C50+data2!$B50*T51</f>
        <v>122.12334137528534</v>
      </c>
      <c r="AI51" s="446">
        <f t="shared" si="2"/>
        <v>115.9</v>
      </c>
      <c r="AJ51" s="457">
        <f t="shared" si="3"/>
        <v>0.05095947511099443</v>
      </c>
      <c r="AK51" s="446">
        <f>IF(I51&gt;=30,data2!B50*'Proposed Spec Lines'!$E$6+data2!C50,IF(G51&gt;=1.1,data2!B50*'Proposed Spec Lines'!$C$6+data2!C50,data2!B50*'Proposed Spec Lines'!$D$6+data2!C50))</f>
        <v>202.8669299457447</v>
      </c>
      <c r="AL51" s="445">
        <f>IF(I51&gt;=30,'Proposed Spec Lines'!$E$6,IF(G51&gt;=1.1,'Proposed Spec Lines'!$C$6,'Proposed Spec Lines'!$D$6))</f>
        <v>350</v>
      </c>
      <c r="AM51" s="446">
        <f t="shared" si="4"/>
        <v>202.8669299457447</v>
      </c>
      <c r="AN51" s="445">
        <f t="shared" si="5"/>
        <v>350</v>
      </c>
      <c r="AO51" s="446">
        <f>IF(O51="Y",'Proposed Spec Lines'!$G$6*AM51+'Proposed Spec Lines'!$G$5*Y51,AM51)</f>
        <v>202.8669299457447</v>
      </c>
      <c r="AP51" s="445">
        <f>IF(O51="Y",'Proposed Spec Lines'!$G$6*AN51+'Proposed Spec Lines'!$G$5*U51,AN51)</f>
        <v>350</v>
      </c>
      <c r="AR51" s="458"/>
    </row>
    <row r="52" spans="1:44" s="421" customFormat="1" ht="28.5" customHeight="1">
      <c r="A52" s="416">
        <v>50</v>
      </c>
      <c r="B52" s="288">
        <v>37981</v>
      </c>
      <c r="C52" s="254" t="s">
        <v>31</v>
      </c>
      <c r="D52" s="255" t="s">
        <v>119</v>
      </c>
      <c r="E52" s="253"/>
      <c r="F52" s="253" t="s">
        <v>22</v>
      </c>
      <c r="G52" s="414">
        <f>VLOOKUP($A52,'Spec Analysis_ScreenSize'!$A$2:$E$142,5,0)</f>
        <v>0.3456</v>
      </c>
      <c r="H52" s="289">
        <v>0.6729166666666666</v>
      </c>
      <c r="I52" s="390">
        <v>6.5</v>
      </c>
      <c r="J52" s="290">
        <v>5.354330708661417</v>
      </c>
      <c r="K52" s="290">
        <v>3.5039370078740157</v>
      </c>
      <c r="L52" s="246">
        <v>18.761237522475042</v>
      </c>
      <c r="M52" s="252" t="s">
        <v>134</v>
      </c>
      <c r="N52" s="252" t="s">
        <v>58</v>
      </c>
      <c r="O52" s="253" t="s">
        <v>123</v>
      </c>
      <c r="P52" s="253" t="s">
        <v>123</v>
      </c>
      <c r="Q52" s="253" t="s">
        <v>123</v>
      </c>
      <c r="R52" s="253" t="s">
        <v>167</v>
      </c>
      <c r="S52" s="253" t="s">
        <v>166</v>
      </c>
      <c r="T52" s="253">
        <v>273.8</v>
      </c>
      <c r="U52" s="253">
        <v>30.4</v>
      </c>
      <c r="V52" s="253">
        <v>273.8</v>
      </c>
      <c r="W52" s="253">
        <v>273.8</v>
      </c>
      <c r="X52" s="256">
        <v>8.3</v>
      </c>
      <c r="Y52" s="256">
        <v>6.03</v>
      </c>
      <c r="Z52" s="256">
        <v>8.3</v>
      </c>
      <c r="AA52" s="256">
        <v>8.3</v>
      </c>
      <c r="AB52" s="253">
        <v>4.73</v>
      </c>
      <c r="AC52" s="253">
        <v>3.36</v>
      </c>
      <c r="AD52" s="252" t="s">
        <v>128</v>
      </c>
      <c r="AE52" s="252" t="s">
        <v>64</v>
      </c>
      <c r="AF52" s="252" t="s">
        <v>160</v>
      </c>
      <c r="AG52" s="252">
        <v>0.67</v>
      </c>
      <c r="AH52" s="422">
        <f>data2!$C51+data2!$B51*T52</f>
        <v>8.3</v>
      </c>
      <c r="AI52" s="422">
        <f t="shared" si="2"/>
        <v>8.3</v>
      </c>
      <c r="AJ52" s="423">
        <f t="shared" si="3"/>
        <v>0</v>
      </c>
      <c r="AK52" s="422">
        <f>IF(I52&gt;=30,data2!B51*'Proposed Spec Lines'!$E$6+data2!C51,IF(G52&gt;=1.1,data2!B51*'Proposed Spec Lines'!$C$6+data2!C51,data2!B51*'Proposed Spec Lines'!$D$6+data2!C51))</f>
        <v>7.378570254724734</v>
      </c>
      <c r="AL52" s="424">
        <f>IF(I52&gt;=30,'Proposed Spec Lines'!$E$6,IF(G52&gt;=1.1,'Proposed Spec Lines'!$C$6,'Proposed Spec Lines'!$D$6))</f>
        <v>175</v>
      </c>
      <c r="AM52" s="422">
        <f t="shared" si="4"/>
        <v>8.3</v>
      </c>
      <c r="AN52" s="424">
        <f>AL52</f>
        <v>175</v>
      </c>
      <c r="AO52" s="446">
        <f>IF(O52="Y",'Proposed Spec Lines'!$G$6*AM52+'Proposed Spec Lines'!$G$5*Y52,AM52)</f>
        <v>8.3</v>
      </c>
      <c r="AP52" s="445">
        <f>IF(O52="Y",'Proposed Spec Lines'!$G$6*AN52+'Proposed Spec Lines'!$G$5*U52,AN52)</f>
        <v>175</v>
      </c>
      <c r="AR52" s="425"/>
    </row>
    <row r="53" spans="1:44" s="421" customFormat="1" ht="36" customHeight="1">
      <c r="A53" s="416">
        <v>51</v>
      </c>
      <c r="B53" s="288">
        <v>37981</v>
      </c>
      <c r="C53" s="254" t="s">
        <v>31</v>
      </c>
      <c r="D53" s="255" t="s">
        <v>119</v>
      </c>
      <c r="E53" s="253"/>
      <c r="F53" s="253" t="s">
        <v>21</v>
      </c>
      <c r="G53" s="414">
        <f>VLOOKUP($A53,'Spec Analysis_ScreenSize'!$A$2:$E$142,5,0)</f>
        <v>0.11232</v>
      </c>
      <c r="H53" s="289">
        <v>0.6729166666666666</v>
      </c>
      <c r="I53" s="390">
        <v>7</v>
      </c>
      <c r="J53" s="290">
        <v>6.0236220472440944</v>
      </c>
      <c r="K53" s="290">
        <v>3.385826771653543</v>
      </c>
      <c r="L53" s="246">
        <v>20.394940789881577</v>
      </c>
      <c r="M53" s="252" t="s">
        <v>134</v>
      </c>
      <c r="N53" s="252" t="s">
        <v>58</v>
      </c>
      <c r="O53" s="253" t="s">
        <v>123</v>
      </c>
      <c r="P53" s="253" t="s">
        <v>123</v>
      </c>
      <c r="Q53" s="253" t="s">
        <v>123</v>
      </c>
      <c r="R53" s="253" t="s">
        <v>161</v>
      </c>
      <c r="S53" s="253" t="s">
        <v>162</v>
      </c>
      <c r="T53" s="253">
        <v>177.1</v>
      </c>
      <c r="U53" s="253">
        <v>177.1</v>
      </c>
      <c r="V53" s="253">
        <v>177.1</v>
      </c>
      <c r="W53" s="253">
        <v>177.1</v>
      </c>
      <c r="X53" s="256">
        <v>4.38</v>
      </c>
      <c r="Y53" s="256" t="s">
        <v>163</v>
      </c>
      <c r="Z53" s="256">
        <v>4.38</v>
      </c>
      <c r="AA53" s="256" t="s">
        <v>163</v>
      </c>
      <c r="AB53" s="253">
        <v>2.47</v>
      </c>
      <c r="AC53" s="253">
        <v>0.13</v>
      </c>
      <c r="AD53" s="252" t="s">
        <v>128</v>
      </c>
      <c r="AE53" s="252" t="s">
        <v>64</v>
      </c>
      <c r="AF53" s="252" t="s">
        <v>160</v>
      </c>
      <c r="AG53" s="252">
        <v>0.12</v>
      </c>
      <c r="AH53" s="422">
        <f>X53</f>
        <v>4.38</v>
      </c>
      <c r="AI53" s="422">
        <f t="shared" si="2"/>
        <v>4.38</v>
      </c>
      <c r="AJ53" s="423">
        <f t="shared" si="3"/>
        <v>0</v>
      </c>
      <c r="AK53" s="469" t="s">
        <v>299</v>
      </c>
      <c r="AL53" s="424">
        <f>IF(I53&gt;=30,'Proposed Spec Lines'!$E$6,IF(G53&gt;=1.1,'Proposed Spec Lines'!$C$6,'Proposed Spec Lines'!$D$6))</f>
        <v>175</v>
      </c>
      <c r="AM53" s="422">
        <f t="shared" si="4"/>
        <v>4.38</v>
      </c>
      <c r="AN53" s="424">
        <f t="shared" si="5"/>
        <v>177.1</v>
      </c>
      <c r="AO53" s="446">
        <f>IF(O53="Y",'Proposed Spec Lines'!$G$6*AM53+'Proposed Spec Lines'!$G$5*Y53,AM53)</f>
        <v>4.38</v>
      </c>
      <c r="AP53" s="445">
        <f>IF(O53="Y",'Proposed Spec Lines'!$G$6*AN53+'Proposed Spec Lines'!$G$5*U53,AN53)</f>
        <v>177.1</v>
      </c>
      <c r="AR53" s="425"/>
    </row>
    <row r="54" spans="1:44" s="421" customFormat="1" ht="67.5">
      <c r="A54" s="447">
        <v>52</v>
      </c>
      <c r="B54" s="288">
        <v>37981</v>
      </c>
      <c r="C54" s="254" t="s">
        <v>31</v>
      </c>
      <c r="D54" s="255" t="s">
        <v>139</v>
      </c>
      <c r="E54" s="253"/>
      <c r="F54" s="253" t="s">
        <v>21</v>
      </c>
      <c r="G54" s="414">
        <f>VLOOKUP($A54,'Spec Analysis_ScreenSize'!$A$2:$E$142,5,0)</f>
        <v>0.11232</v>
      </c>
      <c r="H54" s="289">
        <v>0.6729166666666666</v>
      </c>
      <c r="I54" s="390">
        <v>7</v>
      </c>
      <c r="J54" s="290">
        <v>6.062992125984252</v>
      </c>
      <c r="K54" s="290">
        <v>3.4645669291338583</v>
      </c>
      <c r="L54" s="246">
        <v>21.005642011284024</v>
      </c>
      <c r="M54" s="252" t="s">
        <v>134</v>
      </c>
      <c r="N54" s="252" t="s">
        <v>157</v>
      </c>
      <c r="O54" s="253" t="s">
        <v>123</v>
      </c>
      <c r="P54" s="253" t="s">
        <v>123</v>
      </c>
      <c r="Q54" s="253" t="s">
        <v>123</v>
      </c>
      <c r="R54" s="253" t="s">
        <v>158</v>
      </c>
      <c r="S54" s="253" t="s">
        <v>159</v>
      </c>
      <c r="T54" s="253">
        <v>201.8</v>
      </c>
      <c r="U54" s="253">
        <v>154.2</v>
      </c>
      <c r="V54" s="253">
        <v>203.5</v>
      </c>
      <c r="W54" s="253">
        <v>204.2</v>
      </c>
      <c r="X54" s="256">
        <v>5.6</v>
      </c>
      <c r="Y54" s="256">
        <v>5.6</v>
      </c>
      <c r="Z54" s="256">
        <v>5.6</v>
      </c>
      <c r="AA54" s="256">
        <v>5.6</v>
      </c>
      <c r="AB54" s="253">
        <v>0.44</v>
      </c>
      <c r="AC54" s="253">
        <v>0.34</v>
      </c>
      <c r="AD54" s="252" t="s">
        <v>128</v>
      </c>
      <c r="AE54" s="252" t="s">
        <v>64</v>
      </c>
      <c r="AF54" s="252" t="s">
        <v>160</v>
      </c>
      <c r="AG54" s="252">
        <v>0.34</v>
      </c>
      <c r="AH54" s="422">
        <f>data2!$C53+data2!$B53*T54</f>
        <v>5.599999999999994</v>
      </c>
      <c r="AI54" s="422">
        <f t="shared" si="2"/>
        <v>5.6</v>
      </c>
      <c r="AJ54" s="423">
        <f t="shared" si="3"/>
        <v>-9.516197353929923E-16</v>
      </c>
      <c r="AK54" s="422">
        <f>IF(I54&gt;=30,data2!B53*'Proposed Spec Lines'!$E$6+data2!C53,IF(G54&gt;=1.1,data2!B53*'Proposed Spec Lines'!$C$6+data2!C53,data2!B53*'Proposed Spec Lines'!$D$6+data2!C53))</f>
        <v>5.6000000000000085</v>
      </c>
      <c r="AL54" s="424">
        <f>IF(I54&gt;=30,'Proposed Spec Lines'!$E$6,IF(G54&gt;=1.1,'Proposed Spec Lines'!$C$6,'Proposed Spec Lines'!$D$6))</f>
        <v>175</v>
      </c>
      <c r="AM54" s="422">
        <f t="shared" si="4"/>
        <v>5.6</v>
      </c>
      <c r="AN54" s="424">
        <v>175</v>
      </c>
      <c r="AO54" s="446">
        <f>IF(O54="Y",'Proposed Spec Lines'!$G$6*AM54+'Proposed Spec Lines'!$G$5*Y54,AM54)</f>
        <v>5.6</v>
      </c>
      <c r="AP54" s="445">
        <f>IF(O54="Y",'Proposed Spec Lines'!$G$6*AN54+'Proposed Spec Lines'!$G$5*U54,AN54)</f>
        <v>175</v>
      </c>
      <c r="AR54" s="425"/>
    </row>
    <row r="55" spans="1:44" s="421" customFormat="1" ht="67.5">
      <c r="A55" s="416">
        <v>53</v>
      </c>
      <c r="B55" s="288">
        <v>37981</v>
      </c>
      <c r="C55" s="254" t="s">
        <v>31</v>
      </c>
      <c r="D55" s="255" t="s">
        <v>119</v>
      </c>
      <c r="E55" s="253"/>
      <c r="F55" s="253" t="s">
        <v>21</v>
      </c>
      <c r="G55" s="414">
        <f>VLOOKUP($A55,'Spec Analysis_ScreenSize'!$A$2:$E$142,5,0)</f>
        <v>0.11232</v>
      </c>
      <c r="H55" s="289">
        <v>0.6729166666666666</v>
      </c>
      <c r="I55" s="390">
        <v>7</v>
      </c>
      <c r="J55" s="290">
        <v>6.0236220472440944</v>
      </c>
      <c r="K55" s="290">
        <v>3.3070866141732282</v>
      </c>
      <c r="L55" s="246">
        <v>19.92063984127968</v>
      </c>
      <c r="M55" s="252" t="s">
        <v>134</v>
      </c>
      <c r="N55" s="252" t="s">
        <v>157</v>
      </c>
      <c r="O55" s="253" t="s">
        <v>123</v>
      </c>
      <c r="P55" s="253" t="s">
        <v>123</v>
      </c>
      <c r="Q55" s="253" t="s">
        <v>123</v>
      </c>
      <c r="R55" s="253" t="s">
        <v>168</v>
      </c>
      <c r="S55" s="253" t="s">
        <v>166</v>
      </c>
      <c r="T55" s="253">
        <v>310.3</v>
      </c>
      <c r="U55" s="253">
        <v>3190.3</v>
      </c>
      <c r="V55" s="253">
        <v>310.3</v>
      </c>
      <c r="W55" s="253">
        <v>310.3</v>
      </c>
      <c r="X55" s="256">
        <v>6.43</v>
      </c>
      <c r="Y55" s="256" t="s">
        <v>163</v>
      </c>
      <c r="Z55" s="256">
        <v>6.43</v>
      </c>
      <c r="AA55" s="256" t="s">
        <v>163</v>
      </c>
      <c r="AB55" s="253">
        <v>1.68</v>
      </c>
      <c r="AC55" s="253">
        <v>0.18</v>
      </c>
      <c r="AD55" s="252" t="s">
        <v>128</v>
      </c>
      <c r="AE55" s="252" t="s">
        <v>64</v>
      </c>
      <c r="AF55" s="252" t="s">
        <v>160</v>
      </c>
      <c r="AG55" s="252">
        <v>0.17</v>
      </c>
      <c r="AH55" s="422">
        <f>X55</f>
        <v>6.43</v>
      </c>
      <c r="AI55" s="422">
        <f t="shared" si="2"/>
        <v>6.43</v>
      </c>
      <c r="AJ55" s="423">
        <f t="shared" si="3"/>
        <v>0</v>
      </c>
      <c r="AK55" s="469" t="s">
        <v>299</v>
      </c>
      <c r="AL55" s="424">
        <f>IF(I55&gt;=30,'Proposed Spec Lines'!$E$6,IF(G55&gt;=1.1,'Proposed Spec Lines'!$C$6,'Proposed Spec Lines'!$D$6))</f>
        <v>175</v>
      </c>
      <c r="AM55" s="422">
        <f t="shared" si="4"/>
        <v>6.43</v>
      </c>
      <c r="AN55" s="424">
        <v>175</v>
      </c>
      <c r="AO55" s="446">
        <f>IF(O55="Y",'Proposed Spec Lines'!$G$6*AM55+'Proposed Spec Lines'!$G$5*Y55,AM55)</f>
        <v>6.43</v>
      </c>
      <c r="AP55" s="445">
        <f>IF(O55="Y",'Proposed Spec Lines'!$G$6*AN55+'Proposed Spec Lines'!$G$5*U55,AN55)</f>
        <v>175</v>
      </c>
      <c r="AR55" s="425"/>
    </row>
    <row r="56" spans="1:44" s="421" customFormat="1" ht="45">
      <c r="A56" s="416">
        <v>54</v>
      </c>
      <c r="B56" s="288">
        <v>37981</v>
      </c>
      <c r="C56" s="254" t="s">
        <v>31</v>
      </c>
      <c r="D56" s="255" t="s">
        <v>119</v>
      </c>
      <c r="E56" s="253"/>
      <c r="F56" s="253" t="s">
        <v>19</v>
      </c>
      <c r="G56" s="414">
        <f>VLOOKUP($A56,'Spec Analysis_ScreenSize'!$A$2:$E$142,5,0)</f>
        <v>0.384</v>
      </c>
      <c r="H56" s="289">
        <v>0.6729166666666666</v>
      </c>
      <c r="I56" s="390">
        <v>7</v>
      </c>
      <c r="J56" s="290">
        <v>5.905511811023622</v>
      </c>
      <c r="K56" s="290">
        <v>3.543307086614173</v>
      </c>
      <c r="L56" s="246">
        <v>20.9250418500837</v>
      </c>
      <c r="M56" s="252" t="s">
        <v>164</v>
      </c>
      <c r="N56" s="252" t="s">
        <v>157</v>
      </c>
      <c r="O56" s="253" t="s">
        <v>123</v>
      </c>
      <c r="P56" s="253" t="s">
        <v>123</v>
      </c>
      <c r="Q56" s="253" t="s">
        <v>123</v>
      </c>
      <c r="R56" s="253" t="s">
        <v>165</v>
      </c>
      <c r="S56" s="253" t="s">
        <v>166</v>
      </c>
      <c r="T56" s="253">
        <v>261.4</v>
      </c>
      <c r="U56" s="253">
        <v>43.4</v>
      </c>
      <c r="V56" s="253">
        <v>399.7</v>
      </c>
      <c r="W56" s="253">
        <v>399.7</v>
      </c>
      <c r="X56" s="256">
        <v>7.67</v>
      </c>
      <c r="Y56" s="256">
        <v>4.75</v>
      </c>
      <c r="Z56" s="256">
        <v>9.42</v>
      </c>
      <c r="AA56" s="256">
        <v>9.42</v>
      </c>
      <c r="AB56" s="253">
        <v>3.73</v>
      </c>
      <c r="AC56" s="253">
        <v>0.46</v>
      </c>
      <c r="AD56" s="252" t="s">
        <v>128</v>
      </c>
      <c r="AE56" s="252" t="s">
        <v>64</v>
      </c>
      <c r="AF56" s="252" t="s">
        <v>160</v>
      </c>
      <c r="AG56" s="252">
        <v>0.27</v>
      </c>
      <c r="AH56" s="422">
        <f>data2!$C55+data2!$B55*T56</f>
        <v>7.623141878600256</v>
      </c>
      <c r="AI56" s="422">
        <f t="shared" si="2"/>
        <v>7.67</v>
      </c>
      <c r="AJ56" s="423">
        <f t="shared" si="3"/>
        <v>-0.006146825304574793</v>
      </c>
      <c r="AK56" s="422">
        <f>IF(I56&gt;=30,data2!B55*'Proposed Spec Lines'!$E$6+data2!C55,IF(G56&gt;=1.1,data2!B55*'Proposed Spec Lines'!$C$6+data2!C55,data2!B55*'Proposed Spec Lines'!$D$6+data2!C55))</f>
        <v>6.491637326454329</v>
      </c>
      <c r="AL56" s="424">
        <f>IF(I56&gt;=30,'Proposed Spec Lines'!$E$6,IF(G56&gt;=1.1,'Proposed Spec Lines'!$C$6,'Proposed Spec Lines'!$D$6))</f>
        <v>175</v>
      </c>
      <c r="AM56" s="422">
        <f>AK56</f>
        <v>6.491637326454329</v>
      </c>
      <c r="AN56" s="424">
        <f>AL56</f>
        <v>175</v>
      </c>
      <c r="AO56" s="446">
        <f>IF(O56="Y",'Proposed Spec Lines'!$G$6*AM56+'Proposed Spec Lines'!$G$5*Y56,AM56)</f>
        <v>6.491637326454329</v>
      </c>
      <c r="AP56" s="445">
        <f>IF(O56="Y",'Proposed Spec Lines'!$G$6*AN56+'Proposed Spec Lines'!$G$5*U56,AN56)</f>
        <v>175</v>
      </c>
      <c r="AR56" s="425"/>
    </row>
    <row r="57" spans="1:44" ht="11.25">
      <c r="A57" s="447">
        <v>55</v>
      </c>
      <c r="B57" s="278">
        <v>39506</v>
      </c>
      <c r="C57" s="281" t="s">
        <v>118</v>
      </c>
      <c r="D57" s="244" t="s">
        <v>119</v>
      </c>
      <c r="E57" s="280" t="s">
        <v>140</v>
      </c>
      <c r="F57" s="280" t="s">
        <v>24</v>
      </c>
      <c r="G57" s="414">
        <f>VLOOKUP($A57,'Spec Analysis_ScreenSize'!$A$2:$E$142,5,0)</f>
        <v>1.049088</v>
      </c>
      <c r="H57" s="291" t="s">
        <v>153</v>
      </c>
      <c r="I57" s="389">
        <v>31.5</v>
      </c>
      <c r="J57" s="280">
        <v>29.9</v>
      </c>
      <c r="K57" s="280">
        <v>17.7</v>
      </c>
      <c r="L57" s="246">
        <v>529.23</v>
      </c>
      <c r="M57" s="279"/>
      <c r="N57" s="279"/>
      <c r="O57" s="280"/>
      <c r="P57" s="280"/>
      <c r="Q57" s="280"/>
      <c r="R57" s="280"/>
      <c r="S57" s="280" t="s">
        <v>125</v>
      </c>
      <c r="T57" s="280">
        <v>175</v>
      </c>
      <c r="U57" s="280">
        <v>175</v>
      </c>
      <c r="V57" s="280">
        <v>394</v>
      </c>
      <c r="W57" s="280">
        <v>550</v>
      </c>
      <c r="X57" s="280">
        <v>61.9</v>
      </c>
      <c r="Y57" s="280">
        <v>61.9</v>
      </c>
      <c r="Z57" s="280">
        <v>92.6</v>
      </c>
      <c r="AA57" s="280">
        <v>118.6</v>
      </c>
      <c r="AB57" s="280">
        <v>2.63</v>
      </c>
      <c r="AC57" s="280">
        <v>2.55</v>
      </c>
      <c r="AD57" s="279"/>
      <c r="AE57" s="279"/>
      <c r="AF57" s="279"/>
      <c r="AG57" s="279"/>
      <c r="AH57" s="446">
        <f>data2!$C56+data2!$B56*T57</f>
        <v>61.54845333094236</v>
      </c>
      <c r="AI57" s="446">
        <f t="shared" si="2"/>
        <v>61.9</v>
      </c>
      <c r="AJ57" s="457">
        <f t="shared" si="3"/>
        <v>-0.005711705981747338</v>
      </c>
      <c r="AK57" s="446">
        <f>IF(I57&gt;=30,data2!B56*'Proposed Spec Lines'!$E$6+data2!C56,IF(G57&gt;=1.1,data2!B56*'Proposed Spec Lines'!$C$6+data2!C56,data2!B56*'Proposed Spec Lines'!$D$6+data2!C56))</f>
        <v>87.71189216653218</v>
      </c>
      <c r="AL57" s="445">
        <f>IF(I57&gt;=30,'Proposed Spec Lines'!$E$6,IF(G57&gt;=1.1,'Proposed Spec Lines'!$C$6,'Proposed Spec Lines'!$D$6))</f>
        <v>350</v>
      </c>
      <c r="AM57" s="446">
        <f t="shared" si="4"/>
        <v>87.71189216653218</v>
      </c>
      <c r="AN57" s="445">
        <f t="shared" si="5"/>
        <v>350</v>
      </c>
      <c r="AO57" s="446">
        <f>IF(O57="Y",'Proposed Spec Lines'!$G$6*AM57+'Proposed Spec Lines'!$G$5*Y57,AM57)</f>
        <v>87.71189216653218</v>
      </c>
      <c r="AP57" s="445">
        <f>IF(O57="Y",'Proposed Spec Lines'!$G$6*AN57+'Proposed Spec Lines'!$G$5*U57,AN57)</f>
        <v>350</v>
      </c>
      <c r="AR57" s="458"/>
    </row>
    <row r="58" spans="1:44" ht="11.25">
      <c r="A58" s="416">
        <v>56</v>
      </c>
      <c r="B58" s="278">
        <v>39506</v>
      </c>
      <c r="C58" s="281" t="s">
        <v>118</v>
      </c>
      <c r="D58" s="244" t="s">
        <v>119</v>
      </c>
      <c r="E58" s="280" t="s">
        <v>120</v>
      </c>
      <c r="F58" s="280" t="s">
        <v>24</v>
      </c>
      <c r="G58" s="414">
        <f>VLOOKUP($A58,'Spec Analysis_ScreenSize'!$A$2:$E$142,5,0)</f>
        <v>1.049088</v>
      </c>
      <c r="H58" s="291" t="s">
        <v>153</v>
      </c>
      <c r="I58" s="389">
        <v>40</v>
      </c>
      <c r="J58" s="280">
        <v>34.9</v>
      </c>
      <c r="K58" s="280">
        <v>19.6</v>
      </c>
      <c r="L58" s="246">
        <v>684.04</v>
      </c>
      <c r="M58" s="279"/>
      <c r="N58" s="279"/>
      <c r="O58" s="280"/>
      <c r="P58" s="280"/>
      <c r="Q58" s="280"/>
      <c r="R58" s="280"/>
      <c r="S58" s="280" t="s">
        <v>125</v>
      </c>
      <c r="T58" s="280">
        <v>175</v>
      </c>
      <c r="U58" s="280">
        <v>159</v>
      </c>
      <c r="V58" s="280">
        <v>562</v>
      </c>
      <c r="W58" s="280">
        <v>672</v>
      </c>
      <c r="X58" s="280">
        <v>88.1</v>
      </c>
      <c r="Y58" s="280">
        <v>81.5</v>
      </c>
      <c r="Z58" s="280">
        <v>188.4</v>
      </c>
      <c r="AA58" s="280">
        <v>226.9</v>
      </c>
      <c r="AB58" s="280">
        <v>3.2</v>
      </c>
      <c r="AC58" s="280">
        <v>1.58</v>
      </c>
      <c r="AD58" s="279"/>
      <c r="AE58" s="279"/>
      <c r="AF58" s="279"/>
      <c r="AG58" s="279"/>
      <c r="AH58" s="446">
        <f>data2!$C57+data2!$B57*T58</f>
        <v>86.4810039870039</v>
      </c>
      <c r="AI58" s="446">
        <f t="shared" si="2"/>
        <v>88.1</v>
      </c>
      <c r="AJ58" s="457">
        <f t="shared" si="3"/>
        <v>-0.01872082813977726</v>
      </c>
      <c r="AK58" s="446">
        <f>IF(I58&gt;=30,data2!B57*'Proposed Spec Lines'!$E$6+data2!C57,IF(G58&gt;=1.1,data2!B57*'Proposed Spec Lines'!$C$6+data2!C57,data2!B57*'Proposed Spec Lines'!$D$6+data2!C57))</f>
        <v>134.6616459329685</v>
      </c>
      <c r="AL58" s="445">
        <f>IF(I58&gt;=30,'Proposed Spec Lines'!$E$6,IF(G58&gt;=1.1,'Proposed Spec Lines'!$C$6,'Proposed Spec Lines'!$D$6))</f>
        <v>350</v>
      </c>
      <c r="AM58" s="446">
        <f t="shared" si="4"/>
        <v>134.6616459329685</v>
      </c>
      <c r="AN58" s="445">
        <f t="shared" si="5"/>
        <v>350</v>
      </c>
      <c r="AO58" s="446">
        <f>IF(O58="Y",'Proposed Spec Lines'!$G$6*AM58+'Proposed Spec Lines'!$G$5*Y58,AM58)</f>
        <v>134.6616459329685</v>
      </c>
      <c r="AP58" s="445">
        <f>IF(O58="Y",'Proposed Spec Lines'!$G$6*AN58+'Proposed Spec Lines'!$G$5*U58,AN58)</f>
        <v>350</v>
      </c>
      <c r="AR58" s="458"/>
    </row>
    <row r="59" spans="1:44" ht="11.25">
      <c r="A59" s="416">
        <v>57</v>
      </c>
      <c r="B59" s="278">
        <v>39506</v>
      </c>
      <c r="C59" s="281" t="s">
        <v>118</v>
      </c>
      <c r="D59" s="244" t="s">
        <v>119</v>
      </c>
      <c r="E59" s="280" t="s">
        <v>120</v>
      </c>
      <c r="F59" s="280" t="s">
        <v>24</v>
      </c>
      <c r="G59" s="414">
        <f>VLOOKUP($A59,'Spec Analysis_ScreenSize'!$A$2:$E$142,5,0)</f>
        <v>1.049088</v>
      </c>
      <c r="H59" s="291" t="s">
        <v>153</v>
      </c>
      <c r="I59" s="389">
        <v>46</v>
      </c>
      <c r="J59" s="280">
        <v>40.1</v>
      </c>
      <c r="K59" s="280">
        <v>22.5</v>
      </c>
      <c r="L59" s="246">
        <v>902.25</v>
      </c>
      <c r="M59" s="279"/>
      <c r="N59" s="279"/>
      <c r="O59" s="280"/>
      <c r="P59" s="280"/>
      <c r="Q59" s="280"/>
      <c r="R59" s="280"/>
      <c r="S59" s="280" t="s">
        <v>125</v>
      </c>
      <c r="T59" s="280">
        <v>175</v>
      </c>
      <c r="U59" s="280">
        <v>163</v>
      </c>
      <c r="V59" s="280">
        <v>550</v>
      </c>
      <c r="W59" s="280">
        <v>687</v>
      </c>
      <c r="X59" s="280">
        <v>94.4</v>
      </c>
      <c r="Y59" s="280">
        <v>92.3</v>
      </c>
      <c r="Z59" s="280">
        <v>208.6</v>
      </c>
      <c r="AA59" s="280">
        <v>251</v>
      </c>
      <c r="AB59" s="280">
        <v>3.19</v>
      </c>
      <c r="AC59" s="280">
        <v>1.52</v>
      </c>
      <c r="AD59" s="279"/>
      <c r="AE59" s="279"/>
      <c r="AF59" s="279"/>
      <c r="AG59" s="279"/>
      <c r="AH59" s="446">
        <f>data2!$C58+data2!$B58*T59</f>
        <v>95.12337892289483</v>
      </c>
      <c r="AI59" s="446">
        <f t="shared" si="2"/>
        <v>94.4</v>
      </c>
      <c r="AJ59" s="457">
        <f t="shared" si="3"/>
        <v>0.0076046386396889975</v>
      </c>
      <c r="AK59" s="446">
        <f>IF(I59&gt;=30,data2!B58*'Proposed Spec Lines'!$E$6+data2!C58,IF(G59&gt;=1.1,data2!B58*'Proposed Spec Lines'!$C$6+data2!C58,data2!B58*'Proposed Spec Lines'!$D$6+data2!C58))</f>
        <v>148.28467578457895</v>
      </c>
      <c r="AL59" s="445">
        <f>IF(I59&gt;=30,'Proposed Spec Lines'!$E$6,IF(G59&gt;=1.1,'Proposed Spec Lines'!$C$6,'Proposed Spec Lines'!$D$6))</f>
        <v>350</v>
      </c>
      <c r="AM59" s="446">
        <f t="shared" si="4"/>
        <v>148.28467578457895</v>
      </c>
      <c r="AN59" s="445">
        <f t="shared" si="5"/>
        <v>350</v>
      </c>
      <c r="AO59" s="446">
        <f>IF(O59="Y",'Proposed Spec Lines'!$G$6*AM59+'Proposed Spec Lines'!$G$5*Y59,AM59)</f>
        <v>148.28467578457895</v>
      </c>
      <c r="AP59" s="445">
        <f>IF(O59="Y",'Proposed Spec Lines'!$G$6*AN59+'Proposed Spec Lines'!$G$5*U59,AN59)</f>
        <v>350</v>
      </c>
      <c r="AR59" s="458"/>
    </row>
    <row r="60" spans="1:44" ht="11.25">
      <c r="A60" s="447">
        <v>58</v>
      </c>
      <c r="B60" s="278">
        <v>39506</v>
      </c>
      <c r="C60" s="281" t="s">
        <v>118</v>
      </c>
      <c r="D60" s="244" t="s">
        <v>119</v>
      </c>
      <c r="E60" s="280" t="s">
        <v>120</v>
      </c>
      <c r="F60" s="280" t="s">
        <v>17</v>
      </c>
      <c r="G60" s="414">
        <f>VLOOKUP($A60,'Spec Analysis_ScreenSize'!$A$2:$E$142,5,0)</f>
        <v>2.0736</v>
      </c>
      <c r="H60" s="291" t="s">
        <v>153</v>
      </c>
      <c r="I60" s="392">
        <v>57</v>
      </c>
      <c r="J60" s="279">
        <v>49.3</v>
      </c>
      <c r="K60" s="279">
        <v>27.7</v>
      </c>
      <c r="L60" s="246">
        <v>1365.61</v>
      </c>
      <c r="M60" s="279"/>
      <c r="N60" s="279"/>
      <c r="O60" s="280"/>
      <c r="P60" s="280"/>
      <c r="Q60" s="280"/>
      <c r="R60" s="280"/>
      <c r="S60" s="280" t="s">
        <v>125</v>
      </c>
      <c r="T60" s="280">
        <v>175</v>
      </c>
      <c r="U60" s="279">
        <v>106</v>
      </c>
      <c r="V60" s="279">
        <v>392</v>
      </c>
      <c r="W60" s="279">
        <v>458</v>
      </c>
      <c r="X60" s="279">
        <v>160.6</v>
      </c>
      <c r="Y60" s="279">
        <v>119.4</v>
      </c>
      <c r="Z60" s="279">
        <v>300</v>
      </c>
      <c r="AA60" s="279">
        <v>344</v>
      </c>
      <c r="AB60" s="279">
        <v>2.19</v>
      </c>
      <c r="AC60" s="279">
        <v>2.18</v>
      </c>
      <c r="AD60" s="279"/>
      <c r="AE60" s="279"/>
      <c r="AF60" s="279"/>
      <c r="AG60" s="279"/>
      <c r="AH60" s="446">
        <f>data2!$C59+data2!$B59*T60</f>
        <v>162.12418485650372</v>
      </c>
      <c r="AI60" s="446">
        <f t="shared" si="2"/>
        <v>160.6</v>
      </c>
      <c r="AJ60" s="457">
        <f t="shared" si="3"/>
        <v>0.009401341680470318</v>
      </c>
      <c r="AK60" s="446">
        <f>IF(I60&gt;=30,data2!B59*'Proposed Spec Lines'!$E$6+data2!C59,IF(G60&gt;=1.1,data2!B59*'Proposed Spec Lines'!$C$6+data2!C59,data2!B59*'Proposed Spec Lines'!$D$6+data2!C59))</f>
        <v>273.9874577113701</v>
      </c>
      <c r="AL60" s="445">
        <f>IF(I60&gt;=30,'Proposed Spec Lines'!$E$6,IF(G60&gt;=1.1,'Proposed Spec Lines'!$C$6,'Proposed Spec Lines'!$D$6))</f>
        <v>350</v>
      </c>
      <c r="AM60" s="446">
        <f t="shared" si="4"/>
        <v>273.9874577113701</v>
      </c>
      <c r="AN60" s="445">
        <f t="shared" si="5"/>
        <v>350</v>
      </c>
      <c r="AO60" s="446">
        <f>IF(O60="Y",'Proposed Spec Lines'!$G$6*AM60+'Proposed Spec Lines'!$G$5*Y60,AM60)</f>
        <v>273.9874577113701</v>
      </c>
      <c r="AP60" s="445">
        <f>IF(O60="Y",'Proposed Spec Lines'!$G$6*AN60+'Proposed Spec Lines'!$G$5*U60,AN60)</f>
        <v>350</v>
      </c>
      <c r="AR60" s="458"/>
    </row>
    <row r="61" spans="1:44" ht="11.25">
      <c r="A61" s="416">
        <v>59</v>
      </c>
      <c r="B61" s="278">
        <v>39506</v>
      </c>
      <c r="C61" s="281" t="s">
        <v>118</v>
      </c>
      <c r="D61" s="244" t="s">
        <v>119</v>
      </c>
      <c r="E61" s="280" t="s">
        <v>120</v>
      </c>
      <c r="F61" s="280" t="s">
        <v>310</v>
      </c>
      <c r="G61" s="414">
        <f>VLOOKUP($A61,'Spec Analysis_ScreenSize'!$A$2:$E$142,5,0)</f>
        <v>2.0736</v>
      </c>
      <c r="H61" s="291" t="s">
        <v>153</v>
      </c>
      <c r="I61" s="392">
        <v>65</v>
      </c>
      <c r="J61" s="279">
        <v>56.2</v>
      </c>
      <c r="K61" s="279">
        <v>31.6</v>
      </c>
      <c r="L61" s="246">
        <v>1775.92</v>
      </c>
      <c r="M61" s="279"/>
      <c r="N61" s="279"/>
      <c r="O61" s="280"/>
      <c r="P61" s="280"/>
      <c r="Q61" s="280"/>
      <c r="R61" s="280"/>
      <c r="S61" s="280" t="s">
        <v>125</v>
      </c>
      <c r="T61" s="279">
        <v>229</v>
      </c>
      <c r="U61" s="279">
        <v>229</v>
      </c>
      <c r="V61" s="279">
        <v>375</v>
      </c>
      <c r="W61" s="279">
        <v>456</v>
      </c>
      <c r="X61" s="279">
        <v>286.3</v>
      </c>
      <c r="Y61" s="279">
        <v>286.3</v>
      </c>
      <c r="Z61" s="279">
        <v>420.3</v>
      </c>
      <c r="AA61" s="279">
        <v>499.5</v>
      </c>
      <c r="AB61" s="279">
        <v>3.56</v>
      </c>
      <c r="AC61" s="279">
        <v>2.18</v>
      </c>
      <c r="AD61" s="279"/>
      <c r="AE61" s="279"/>
      <c r="AF61" s="279"/>
      <c r="AG61" s="279"/>
      <c r="AH61" s="446">
        <f>data2!$C60+data2!$B60*T61</f>
        <v>285.9226941038154</v>
      </c>
      <c r="AI61" s="446">
        <f t="shared" si="2"/>
        <v>286.3</v>
      </c>
      <c r="AJ61" s="457">
        <f t="shared" si="3"/>
        <v>-0.0013196080757675974</v>
      </c>
      <c r="AK61" s="446">
        <f>IF(I61&gt;=30,data2!B60*'Proposed Spec Lines'!$E$6+data2!C60,IF(G61&gt;=1.1,data2!B60*'Proposed Spec Lines'!$C$6+data2!C60,data2!B60*'Proposed Spec Lines'!$D$6+data2!C60))</f>
        <v>399.04284438197453</v>
      </c>
      <c r="AL61" s="445">
        <f>IF(I61&gt;=30,'Proposed Spec Lines'!$E$6,IF(G61&gt;=1.1,'Proposed Spec Lines'!$C$6,'Proposed Spec Lines'!$D$6))</f>
        <v>350</v>
      </c>
      <c r="AM61" s="446">
        <f t="shared" si="4"/>
        <v>399.04284438197453</v>
      </c>
      <c r="AN61" s="445">
        <f t="shared" si="5"/>
        <v>350</v>
      </c>
      <c r="AO61" s="446">
        <f>IF(O61="Y",'Proposed Spec Lines'!$G$6*AM61+'Proposed Spec Lines'!$G$5*Y61,AM61)</f>
        <v>399.04284438197453</v>
      </c>
      <c r="AP61" s="445">
        <f>IF(O61="Y",'Proposed Spec Lines'!$G$6*AN61+'Proposed Spec Lines'!$G$5*U61,AN61)</f>
        <v>350</v>
      </c>
      <c r="AR61" s="458"/>
    </row>
    <row r="62" spans="1:44" ht="11.25">
      <c r="A62" s="416">
        <v>60</v>
      </c>
      <c r="B62" s="278">
        <v>39506</v>
      </c>
      <c r="C62" s="281" t="s">
        <v>118</v>
      </c>
      <c r="D62" s="244" t="s">
        <v>119</v>
      </c>
      <c r="E62" s="280" t="s">
        <v>120</v>
      </c>
      <c r="F62" s="280" t="s">
        <v>25</v>
      </c>
      <c r="G62" s="414">
        <f>VLOOKUP($A62,'Spec Analysis_ScreenSize'!$A$2:$E$142,5,0)</f>
        <v>2.0736</v>
      </c>
      <c r="H62" s="291" t="s">
        <v>170</v>
      </c>
      <c r="I62" s="392">
        <v>65</v>
      </c>
      <c r="J62" s="279">
        <v>31.6</v>
      </c>
      <c r="K62" s="279">
        <v>56.2</v>
      </c>
      <c r="L62" s="246">
        <v>1775.92</v>
      </c>
      <c r="M62" s="279"/>
      <c r="N62" s="279"/>
      <c r="O62" s="280"/>
      <c r="P62" s="280"/>
      <c r="Q62" s="280"/>
      <c r="R62" s="280"/>
      <c r="S62" s="280" t="s">
        <v>125</v>
      </c>
      <c r="T62" s="279">
        <v>236</v>
      </c>
      <c r="U62" s="279">
        <v>236</v>
      </c>
      <c r="V62" s="279">
        <v>459</v>
      </c>
      <c r="W62" s="279">
        <v>548</v>
      </c>
      <c r="X62" s="279">
        <v>279.8</v>
      </c>
      <c r="Y62" s="279">
        <v>279.8</v>
      </c>
      <c r="Z62" s="279">
        <v>473</v>
      </c>
      <c r="AA62" s="279">
        <v>571</v>
      </c>
      <c r="AB62" s="279">
        <v>3.69</v>
      </c>
      <c r="AC62" s="279">
        <v>2.23</v>
      </c>
      <c r="AD62" s="279"/>
      <c r="AE62" s="279"/>
      <c r="AF62" s="279"/>
      <c r="AG62" s="279"/>
      <c r="AH62" s="446">
        <f>data2!$C61+data2!$B61*T62</f>
        <v>278.4272290584539</v>
      </c>
      <c r="AI62" s="446">
        <f t="shared" si="2"/>
        <v>279.8</v>
      </c>
      <c r="AJ62" s="457">
        <f t="shared" si="3"/>
        <v>-0.004930447881079511</v>
      </c>
      <c r="AK62" s="446">
        <f>IF(I62&gt;=30,data2!B61*'Proposed Spec Lines'!$E$6+data2!C61,IF(G62&gt;=1.1,data2!B61*'Proposed Spec Lines'!$C$6+data2!C61,data2!B61*'Proposed Spec Lines'!$D$6+data2!C61))</f>
        <v>382.8152356927436</v>
      </c>
      <c r="AL62" s="445">
        <f>IF(I62&gt;=30,'Proposed Spec Lines'!$E$6,IF(G62&gt;=1.1,'Proposed Spec Lines'!$C$6,'Proposed Spec Lines'!$D$6))</f>
        <v>350</v>
      </c>
      <c r="AM62" s="446">
        <f t="shared" si="4"/>
        <v>382.8152356927436</v>
      </c>
      <c r="AN62" s="445">
        <f t="shared" si="5"/>
        <v>350</v>
      </c>
      <c r="AO62" s="446">
        <f>IF(O62="Y",'Proposed Spec Lines'!$G$6*AM62+'Proposed Spec Lines'!$G$5*Y62,AM62)</f>
        <v>382.8152356927436</v>
      </c>
      <c r="AP62" s="445">
        <f>IF(O62="Y",'Proposed Spec Lines'!$G$6*AN62+'Proposed Spec Lines'!$G$5*U62,AN62)</f>
        <v>350</v>
      </c>
      <c r="AR62" s="458"/>
    </row>
    <row r="63" spans="1:44" ht="11.25">
      <c r="A63" s="447">
        <v>61</v>
      </c>
      <c r="B63" s="278">
        <v>39506</v>
      </c>
      <c r="C63" s="281" t="s">
        <v>118</v>
      </c>
      <c r="D63" s="244" t="s">
        <v>119</v>
      </c>
      <c r="E63" s="280" t="s">
        <v>120</v>
      </c>
      <c r="F63" s="280" t="s">
        <v>17</v>
      </c>
      <c r="G63" s="414">
        <f>VLOOKUP($A63,'Spec Analysis_ScreenSize'!$A$2:$E$142,5,0)</f>
        <v>2.0736</v>
      </c>
      <c r="H63" s="291" t="s">
        <v>153</v>
      </c>
      <c r="I63" s="389">
        <v>40</v>
      </c>
      <c r="J63" s="280">
        <v>34.9</v>
      </c>
      <c r="K63" s="280">
        <v>19.6</v>
      </c>
      <c r="L63" s="246">
        <v>684.04</v>
      </c>
      <c r="M63" s="279"/>
      <c r="N63" s="279"/>
      <c r="O63" s="280"/>
      <c r="P63" s="280"/>
      <c r="Q63" s="280"/>
      <c r="R63" s="280"/>
      <c r="S63" s="280" t="s">
        <v>125</v>
      </c>
      <c r="T63" s="280">
        <v>175</v>
      </c>
      <c r="U63" s="280">
        <v>153</v>
      </c>
      <c r="V63" s="280">
        <v>345</v>
      </c>
      <c r="W63" s="280">
        <v>418</v>
      </c>
      <c r="X63" s="280">
        <v>110.9</v>
      </c>
      <c r="Y63" s="280">
        <v>104</v>
      </c>
      <c r="Z63" s="280">
        <v>174.4</v>
      </c>
      <c r="AA63" s="280">
        <v>205.9</v>
      </c>
      <c r="AB63" s="280">
        <v>3.13</v>
      </c>
      <c r="AC63" s="280">
        <v>1.57</v>
      </c>
      <c r="AD63" s="279"/>
      <c r="AE63" s="279"/>
      <c r="AF63" s="279"/>
      <c r="AG63" s="279"/>
      <c r="AH63" s="446">
        <f>data2!$C62+data2!$B62*T63</f>
        <v>111.39792632349356</v>
      </c>
      <c r="AI63" s="446">
        <f t="shared" si="2"/>
        <v>110.9</v>
      </c>
      <c r="AJ63" s="457">
        <f t="shared" si="3"/>
        <v>0.004469798854671743</v>
      </c>
      <c r="AK63" s="446">
        <f>IF(I63&gt;=30,data2!B62*'Proposed Spec Lines'!$E$6+data2!C62,IF(G63&gt;=1.1,data2!B62*'Proposed Spec Lines'!$C$6+data2!C62,data2!B62*'Proposed Spec Lines'!$D$6+data2!C62))</f>
        <v>178.35816052695782</v>
      </c>
      <c r="AL63" s="445">
        <f>IF(I63&gt;=30,'Proposed Spec Lines'!$E$6,IF(G63&gt;=1.1,'Proposed Spec Lines'!$C$6,'Proposed Spec Lines'!$D$6))</f>
        <v>350</v>
      </c>
      <c r="AM63" s="446">
        <f t="shared" si="4"/>
        <v>178.35816052695782</v>
      </c>
      <c r="AN63" s="445">
        <f t="shared" si="5"/>
        <v>350</v>
      </c>
      <c r="AO63" s="446">
        <f>IF(O63="Y",'Proposed Spec Lines'!$G$6*AM63+'Proposed Spec Lines'!$G$5*Y63,AM63)</f>
        <v>178.35816052695782</v>
      </c>
      <c r="AP63" s="445">
        <f>IF(O63="Y",'Proposed Spec Lines'!$G$6*AN63+'Proposed Spec Lines'!$G$5*U63,AN63)</f>
        <v>350</v>
      </c>
      <c r="AR63" s="458"/>
    </row>
    <row r="64" spans="1:44" ht="11.25">
      <c r="A64" s="416">
        <v>62</v>
      </c>
      <c r="B64" s="278">
        <v>39506</v>
      </c>
      <c r="C64" s="281" t="s">
        <v>118</v>
      </c>
      <c r="D64" s="244" t="s">
        <v>119</v>
      </c>
      <c r="E64" s="280" t="s">
        <v>120</v>
      </c>
      <c r="F64" s="280" t="s">
        <v>17</v>
      </c>
      <c r="G64" s="414">
        <f>VLOOKUP($A64,'Spec Analysis_ScreenSize'!$A$2:$E$142,5,0)</f>
        <v>2.0736</v>
      </c>
      <c r="H64" s="291" t="s">
        <v>153</v>
      </c>
      <c r="I64" s="392">
        <v>46</v>
      </c>
      <c r="J64" s="279">
        <v>40.1</v>
      </c>
      <c r="K64" s="279">
        <v>22.5</v>
      </c>
      <c r="L64" s="246">
        <v>902.25</v>
      </c>
      <c r="M64" s="279"/>
      <c r="N64" s="279"/>
      <c r="O64" s="280"/>
      <c r="P64" s="280"/>
      <c r="Q64" s="280"/>
      <c r="R64" s="280"/>
      <c r="S64" s="280" t="s">
        <v>125</v>
      </c>
      <c r="T64" s="280">
        <v>175</v>
      </c>
      <c r="U64" s="280">
        <v>175</v>
      </c>
      <c r="V64" s="280">
        <v>390</v>
      </c>
      <c r="W64" s="280">
        <v>469</v>
      </c>
      <c r="X64" s="280">
        <v>117</v>
      </c>
      <c r="Y64" s="280">
        <v>117</v>
      </c>
      <c r="Z64" s="280">
        <v>199.5</v>
      </c>
      <c r="AA64" s="280">
        <v>232.4</v>
      </c>
      <c r="AB64" s="280">
        <v>3.17</v>
      </c>
      <c r="AC64" s="280">
        <v>1.52</v>
      </c>
      <c r="AD64" s="279"/>
      <c r="AE64" s="279"/>
      <c r="AF64" s="279"/>
      <c r="AG64" s="279"/>
      <c r="AH64" s="446">
        <f>data2!$C63+data2!$B63*T64</f>
        <v>116.83825484325918</v>
      </c>
      <c r="AI64" s="446">
        <f t="shared" si="2"/>
        <v>117</v>
      </c>
      <c r="AJ64" s="457">
        <f t="shared" si="3"/>
        <v>-0.001384351015494072</v>
      </c>
      <c r="AK64" s="446">
        <f>IF(I64&gt;=30,data2!B63*'Proposed Spec Lines'!$E$6+data2!C63,IF(G64&gt;=1.1,data2!B63*'Proposed Spec Lines'!$C$6+data2!C63,data2!B63*'Proposed Spec Lines'!$D$6+data2!C63))</f>
        <v>185.10096920419937</v>
      </c>
      <c r="AL64" s="445">
        <f>IF(I64&gt;=30,'Proposed Spec Lines'!$E$6,IF(G64&gt;=1.1,'Proposed Spec Lines'!$C$6,'Proposed Spec Lines'!$D$6))</f>
        <v>350</v>
      </c>
      <c r="AM64" s="446">
        <f t="shared" si="4"/>
        <v>185.10096920419937</v>
      </c>
      <c r="AN64" s="445">
        <f t="shared" si="5"/>
        <v>350</v>
      </c>
      <c r="AO64" s="446">
        <f>IF(O64="Y",'Proposed Spec Lines'!$G$6*AM64+'Proposed Spec Lines'!$G$5*Y64,AM64)</f>
        <v>185.10096920419937</v>
      </c>
      <c r="AP64" s="445">
        <f>IF(O64="Y",'Proposed Spec Lines'!$G$6*AN64+'Proposed Spec Lines'!$G$5*U64,AN64)</f>
        <v>350</v>
      </c>
      <c r="AR64" s="458"/>
    </row>
    <row r="65" spans="1:44" ht="11.25">
      <c r="A65" s="416">
        <v>63</v>
      </c>
      <c r="B65" s="278">
        <v>39315</v>
      </c>
      <c r="C65" s="281" t="s">
        <v>118</v>
      </c>
      <c r="D65" s="244" t="s">
        <v>150</v>
      </c>
      <c r="E65" s="280"/>
      <c r="F65" s="280" t="s">
        <v>14</v>
      </c>
      <c r="G65" s="414">
        <f>VLOOKUP($A65,'Spec Analysis_ScreenSize'!$A$2:$E$142,5,0)</f>
        <v>0.786432</v>
      </c>
      <c r="H65" s="292" t="s">
        <v>169</v>
      </c>
      <c r="I65" s="389">
        <v>42</v>
      </c>
      <c r="J65" s="280">
        <v>36.3</v>
      </c>
      <c r="K65" s="280">
        <v>20.4</v>
      </c>
      <c r="L65" s="246">
        <v>740.52</v>
      </c>
      <c r="M65" s="279"/>
      <c r="N65" s="279"/>
      <c r="O65" s="280"/>
      <c r="P65" s="280"/>
      <c r="Q65" s="280"/>
      <c r="R65" s="280"/>
      <c r="S65" s="280" t="s">
        <v>132</v>
      </c>
      <c r="T65" s="280">
        <v>81</v>
      </c>
      <c r="U65" s="280"/>
      <c r="V65" s="280">
        <v>81</v>
      </c>
      <c r="W65" s="280">
        <v>81</v>
      </c>
      <c r="X65" s="280">
        <v>292</v>
      </c>
      <c r="Y65" s="280"/>
      <c r="Z65" s="280">
        <v>292</v>
      </c>
      <c r="AA65" s="280">
        <v>292</v>
      </c>
      <c r="AB65" s="293">
        <v>1</v>
      </c>
      <c r="AC65" s="280">
        <v>0.8</v>
      </c>
      <c r="AD65" s="279"/>
      <c r="AE65" s="279"/>
      <c r="AF65" s="279"/>
      <c r="AG65" s="279"/>
      <c r="AH65" s="422">
        <f>X65</f>
        <v>292</v>
      </c>
      <c r="AI65" s="422">
        <f t="shared" si="2"/>
        <v>292</v>
      </c>
      <c r="AJ65" s="423">
        <f t="shared" si="3"/>
        <v>0</v>
      </c>
      <c r="AK65" s="471" t="s">
        <v>299</v>
      </c>
      <c r="AL65" s="445">
        <f>IF(I65&gt;=30,'Proposed Spec Lines'!$E$6,IF(G65&gt;=1.1,'Proposed Spec Lines'!$C$6,'Proposed Spec Lines'!$D$6))</f>
        <v>350</v>
      </c>
      <c r="AM65" s="446">
        <f t="shared" si="4"/>
        <v>292</v>
      </c>
      <c r="AN65" s="445">
        <f t="shared" si="5"/>
        <v>81</v>
      </c>
      <c r="AO65" s="446">
        <f>IF(O65="Y",'Proposed Spec Lines'!$G$6*AM65+'Proposed Spec Lines'!$G$5*Y65,AM65)</f>
        <v>292</v>
      </c>
      <c r="AP65" s="445">
        <f>IF(O65="Y",'Proposed Spec Lines'!$G$6*AN65+'Proposed Spec Lines'!$G$5*U65,AN65)</f>
        <v>81</v>
      </c>
      <c r="AR65" s="458"/>
    </row>
    <row r="66" spans="1:44" ht="11.25">
      <c r="A66" s="447">
        <v>64</v>
      </c>
      <c r="B66" s="278">
        <v>39315</v>
      </c>
      <c r="C66" s="281" t="s">
        <v>118</v>
      </c>
      <c r="D66" s="244" t="s">
        <v>150</v>
      </c>
      <c r="E66" s="280"/>
      <c r="F66" s="280" t="s">
        <v>23</v>
      </c>
      <c r="G66" s="414">
        <f>VLOOKUP($A66,'Spec Analysis_ScreenSize'!$A$2:$E$142,5,0)</f>
        <v>1.04832</v>
      </c>
      <c r="H66" s="292" t="s">
        <v>169</v>
      </c>
      <c r="I66" s="389">
        <v>50</v>
      </c>
      <c r="J66" s="280">
        <v>43.5</v>
      </c>
      <c r="K66" s="280">
        <v>24.5</v>
      </c>
      <c r="L66" s="246">
        <v>1065.75</v>
      </c>
      <c r="M66" s="279"/>
      <c r="N66" s="279"/>
      <c r="O66" s="280"/>
      <c r="P66" s="280"/>
      <c r="Q66" s="280"/>
      <c r="R66" s="280"/>
      <c r="S66" s="280" t="s">
        <v>132</v>
      </c>
      <c r="T66" s="280">
        <v>64</v>
      </c>
      <c r="U66" s="280"/>
      <c r="V66" s="280">
        <v>64</v>
      </c>
      <c r="W66" s="280">
        <v>64</v>
      </c>
      <c r="X66" s="280">
        <v>322</v>
      </c>
      <c r="Y66" s="280"/>
      <c r="Z66" s="280">
        <v>322</v>
      </c>
      <c r="AA66" s="280">
        <v>322</v>
      </c>
      <c r="AB66" s="280">
        <v>1.1</v>
      </c>
      <c r="AC66" s="280">
        <v>0.9</v>
      </c>
      <c r="AD66" s="279"/>
      <c r="AE66" s="279"/>
      <c r="AF66" s="279"/>
      <c r="AG66" s="279"/>
      <c r="AH66" s="422">
        <f>X66</f>
        <v>322</v>
      </c>
      <c r="AI66" s="422">
        <f t="shared" si="2"/>
        <v>322</v>
      </c>
      <c r="AJ66" s="423">
        <f t="shared" si="3"/>
        <v>0</v>
      </c>
      <c r="AK66" s="471" t="s">
        <v>299</v>
      </c>
      <c r="AL66" s="445">
        <f>IF(I66&gt;=30,'Proposed Spec Lines'!$E$6,IF(G66&gt;=1.1,'Proposed Spec Lines'!$C$6,'Proposed Spec Lines'!$D$6))</f>
        <v>350</v>
      </c>
      <c r="AM66" s="446">
        <f t="shared" si="4"/>
        <v>322</v>
      </c>
      <c r="AN66" s="445">
        <f t="shared" si="5"/>
        <v>64</v>
      </c>
      <c r="AO66" s="446">
        <f>IF(O66="Y",'Proposed Spec Lines'!$G$6*AM66+'Proposed Spec Lines'!$G$5*Y66,AM66)</f>
        <v>322</v>
      </c>
      <c r="AP66" s="445">
        <f>IF(O66="Y",'Proposed Spec Lines'!$G$6*AN66+'Proposed Spec Lines'!$G$5*U66,AN66)</f>
        <v>64</v>
      </c>
      <c r="AR66" s="458"/>
    </row>
    <row r="67" spans="1:44" ht="11.25">
      <c r="A67" s="416">
        <v>65</v>
      </c>
      <c r="B67" s="278">
        <v>39315</v>
      </c>
      <c r="C67" s="281" t="s">
        <v>118</v>
      </c>
      <c r="D67" s="244" t="s">
        <v>150</v>
      </c>
      <c r="E67" s="280"/>
      <c r="F67" s="280" t="s">
        <v>24</v>
      </c>
      <c r="G67" s="414">
        <f>VLOOKUP($A67,'Spec Analysis_ScreenSize'!$A$2:$E$142,5,0)</f>
        <v>1.049088</v>
      </c>
      <c r="H67" s="292" t="s">
        <v>169</v>
      </c>
      <c r="I67" s="389">
        <v>60</v>
      </c>
      <c r="J67" s="280">
        <v>51.9</v>
      </c>
      <c r="K67" s="280">
        <v>29.2</v>
      </c>
      <c r="L67" s="246">
        <v>1515.48</v>
      </c>
      <c r="M67" s="279"/>
      <c r="N67" s="279"/>
      <c r="O67" s="280"/>
      <c r="P67" s="280"/>
      <c r="Q67" s="280"/>
      <c r="R67" s="280"/>
      <c r="S67" s="280" t="s">
        <v>132</v>
      </c>
      <c r="T67" s="280">
        <v>64</v>
      </c>
      <c r="U67" s="280"/>
      <c r="V67" s="280">
        <v>64</v>
      </c>
      <c r="W67" s="280">
        <v>64</v>
      </c>
      <c r="X67" s="280">
        <v>465</v>
      </c>
      <c r="Y67" s="280"/>
      <c r="Z67" s="280">
        <v>465</v>
      </c>
      <c r="AA67" s="280">
        <v>465</v>
      </c>
      <c r="AB67" s="293">
        <v>1</v>
      </c>
      <c r="AC67" s="280">
        <v>0.8</v>
      </c>
      <c r="AD67" s="279"/>
      <c r="AE67" s="279"/>
      <c r="AF67" s="279"/>
      <c r="AG67" s="279"/>
      <c r="AH67" s="422">
        <f>X67</f>
        <v>465</v>
      </c>
      <c r="AI67" s="422">
        <f t="shared" si="2"/>
        <v>465</v>
      </c>
      <c r="AJ67" s="423">
        <f t="shared" si="3"/>
        <v>0</v>
      </c>
      <c r="AK67" s="471" t="s">
        <v>299</v>
      </c>
      <c r="AL67" s="445">
        <f>IF(I67&gt;=30,'Proposed Spec Lines'!$E$6,IF(G67&gt;=1.1,'Proposed Spec Lines'!$C$6,'Proposed Spec Lines'!$D$6))</f>
        <v>350</v>
      </c>
      <c r="AM67" s="446">
        <f t="shared" si="4"/>
        <v>465</v>
      </c>
      <c r="AN67" s="445">
        <f t="shared" si="5"/>
        <v>64</v>
      </c>
      <c r="AO67" s="446">
        <f>IF(O67="Y",'Proposed Spec Lines'!$G$6*AM67+'Proposed Spec Lines'!$G$5*Y67,AM67)</f>
        <v>465</v>
      </c>
      <c r="AP67" s="445">
        <f>IF(O67="Y",'Proposed Spec Lines'!$G$6*AN67+'Proposed Spec Lines'!$G$5*U67,AN67)</f>
        <v>64</v>
      </c>
      <c r="AR67" s="458"/>
    </row>
    <row r="68" spans="1:44" ht="11.25">
      <c r="A68" s="416">
        <v>66</v>
      </c>
      <c r="B68" s="294">
        <v>39519</v>
      </c>
      <c r="C68" s="274" t="s">
        <v>118</v>
      </c>
      <c r="D68" s="274" t="s">
        <v>171</v>
      </c>
      <c r="E68" s="260" t="s">
        <v>127</v>
      </c>
      <c r="F68" s="260" t="s">
        <v>3</v>
      </c>
      <c r="G68" s="414">
        <f>VLOOKUP($A68,'Spec Analysis_ScreenSize'!$A$2:$E$142,5,0)</f>
        <v>1.31072</v>
      </c>
      <c r="H68" s="260" t="s">
        <v>147</v>
      </c>
      <c r="I68" s="394">
        <v>17.037352301679594</v>
      </c>
      <c r="J68" s="295">
        <v>17.037352301679594</v>
      </c>
      <c r="K68" s="295">
        <v>13.303937007874017</v>
      </c>
      <c r="L68" s="246">
        <v>226.6638618025027</v>
      </c>
      <c r="M68" s="260"/>
      <c r="N68" s="260" t="s">
        <v>132</v>
      </c>
      <c r="O68" s="260"/>
      <c r="P68" s="260" t="s">
        <v>122</v>
      </c>
      <c r="Q68" s="260"/>
      <c r="R68" s="260"/>
      <c r="S68" s="260" t="s">
        <v>132</v>
      </c>
      <c r="T68" s="260">
        <v>175.2</v>
      </c>
      <c r="U68" s="260">
        <v>78.1</v>
      </c>
      <c r="V68" s="260">
        <v>226.7</v>
      </c>
      <c r="W68" s="260" t="s">
        <v>138</v>
      </c>
      <c r="X68" s="260">
        <v>27.81</v>
      </c>
      <c r="Y68" s="260">
        <v>15.61</v>
      </c>
      <c r="Z68" s="260">
        <v>28.29</v>
      </c>
      <c r="AA68" s="260" t="s">
        <v>138</v>
      </c>
      <c r="AB68" s="260">
        <v>0.855</v>
      </c>
      <c r="AC68" s="260">
        <v>0.642</v>
      </c>
      <c r="AD68" s="260"/>
      <c r="AE68" s="260"/>
      <c r="AF68" s="260"/>
      <c r="AG68" s="260"/>
      <c r="AH68" s="461">
        <f>data2!$C67+data2!$B67*T68</f>
        <v>25.27976574981661</v>
      </c>
      <c r="AI68" s="461">
        <f aca="true" t="shared" si="6" ref="AI68:AI131">X68</f>
        <v>27.81</v>
      </c>
      <c r="AJ68" s="462">
        <f aca="true" t="shared" si="7" ref="AJ68:AJ131">(AH68-AI68)/AH68</f>
        <v>-0.10008930759976453</v>
      </c>
      <c r="AK68" s="446">
        <f>IF(I68&gt;=30,data2!B67*'Proposed Spec Lines'!$E$6+data2!C67,IF(G68&gt;=1.1,data2!B67*'Proposed Spec Lines'!$C$6+data2!C67,data2!B67*'Proposed Spec Lines'!$D$6+data2!C67))</f>
        <v>27.52552390302617</v>
      </c>
      <c r="AL68" s="445">
        <f>IF(I68&gt;=30,'Proposed Spec Lines'!$E$6,IF(G68&gt;=1.1,'Proposed Spec Lines'!$C$6,'Proposed Spec Lines'!$D$6))</f>
        <v>200</v>
      </c>
      <c r="AM68" s="446">
        <f t="shared" si="4"/>
        <v>27.52552390302617</v>
      </c>
      <c r="AN68" s="445">
        <f t="shared" si="5"/>
        <v>200</v>
      </c>
      <c r="AO68" s="446">
        <f>IF(O68="Y",'Proposed Spec Lines'!$G$6*AM68+'Proposed Spec Lines'!$G$5*Y68,AM68)</f>
        <v>27.52552390302617</v>
      </c>
      <c r="AP68" s="445">
        <f>IF(O68="Y",'Proposed Spec Lines'!$G$6*AN68+'Proposed Spec Lines'!$G$5*U68,AN68)</f>
        <v>200</v>
      </c>
      <c r="AR68" s="458"/>
    </row>
    <row r="69" spans="1:44" ht="11.25">
      <c r="A69" s="447">
        <v>67</v>
      </c>
      <c r="B69" s="294">
        <v>39526</v>
      </c>
      <c r="C69" s="274" t="s">
        <v>118</v>
      </c>
      <c r="D69" s="274" t="s">
        <v>171</v>
      </c>
      <c r="E69" s="260" t="s">
        <v>127</v>
      </c>
      <c r="F69" s="260" t="s">
        <v>2</v>
      </c>
      <c r="G69" s="414">
        <f>VLOOKUP($A69,'Spec Analysis_ScreenSize'!$A$2:$E$142,5,0)</f>
        <v>1.764</v>
      </c>
      <c r="H69" s="260" t="s">
        <v>147</v>
      </c>
      <c r="I69" s="394">
        <v>20.12335030452074</v>
      </c>
      <c r="J69" s="295">
        <v>20.12335030452074</v>
      </c>
      <c r="K69" s="295">
        <v>10.665354330708663</v>
      </c>
      <c r="L69" s="246">
        <v>214.6226613186878</v>
      </c>
      <c r="M69" s="260"/>
      <c r="N69" s="260" t="s">
        <v>125</v>
      </c>
      <c r="O69" s="260"/>
      <c r="P69" s="260" t="s">
        <v>122</v>
      </c>
      <c r="Q69" s="260"/>
      <c r="R69" s="260"/>
      <c r="S69" s="260" t="s">
        <v>125</v>
      </c>
      <c r="T69" s="260">
        <v>175.2</v>
      </c>
      <c r="U69" s="260">
        <v>55.8</v>
      </c>
      <c r="V69" s="260">
        <v>208.9</v>
      </c>
      <c r="W69" s="260">
        <v>273.9</v>
      </c>
      <c r="X69" s="260">
        <v>28.97</v>
      </c>
      <c r="Y69" s="260">
        <v>17.63</v>
      </c>
      <c r="Z69" s="260">
        <v>32.08</v>
      </c>
      <c r="AA69" s="260">
        <v>38.78</v>
      </c>
      <c r="AB69" s="260">
        <v>0.852</v>
      </c>
      <c r="AC69" s="260">
        <v>0.645</v>
      </c>
      <c r="AD69" s="260"/>
      <c r="AE69" s="260"/>
      <c r="AF69" s="260"/>
      <c r="AG69" s="260"/>
      <c r="AH69" s="446">
        <f>data2!$C68+data2!$B68*T69</f>
        <v>29.051299069923704</v>
      </c>
      <c r="AI69" s="446">
        <f t="shared" si="6"/>
        <v>28.97</v>
      </c>
      <c r="AJ69" s="457">
        <f t="shared" si="7"/>
        <v>0.002798465904331039</v>
      </c>
      <c r="AK69" s="446">
        <f>IF(I69&gt;=30,data2!B68*'Proposed Spec Lines'!$E$6+data2!C68,IF(G69&gt;=1.1,data2!B68*'Proposed Spec Lines'!$C$6+data2!C68,data2!B68*'Proposed Spec Lines'!$D$6+data2!C68))</f>
        <v>31.445078474813574</v>
      </c>
      <c r="AL69" s="445">
        <f>IF(I69&gt;=30,'Proposed Spec Lines'!$E$6,IF(G69&gt;=1.1,'Proposed Spec Lines'!$C$6,'Proposed Spec Lines'!$D$6))</f>
        <v>200</v>
      </c>
      <c r="AM69" s="446">
        <f t="shared" si="4"/>
        <v>31.445078474813574</v>
      </c>
      <c r="AN69" s="445">
        <f t="shared" si="5"/>
        <v>200</v>
      </c>
      <c r="AO69" s="446">
        <f>IF(O69="Y",'Proposed Spec Lines'!$G$6*AM69+'Proposed Spec Lines'!$G$5*Y69,AM69)</f>
        <v>31.445078474813574</v>
      </c>
      <c r="AP69" s="445">
        <f>IF(O69="Y",'Proposed Spec Lines'!$G$6*AN69+'Proposed Spec Lines'!$G$5*U69,AN69)</f>
        <v>200</v>
      </c>
      <c r="AR69" s="458"/>
    </row>
    <row r="70" spans="1:44" ht="11.25">
      <c r="A70" s="416">
        <v>68</v>
      </c>
      <c r="B70" s="294">
        <v>39526</v>
      </c>
      <c r="C70" s="262" t="s">
        <v>118</v>
      </c>
      <c r="D70" s="274" t="s">
        <v>171</v>
      </c>
      <c r="E70" s="261" t="s">
        <v>127</v>
      </c>
      <c r="F70" s="261" t="s">
        <v>2</v>
      </c>
      <c r="G70" s="414">
        <f>VLOOKUP($A70,'Spec Analysis_ScreenSize'!$A$2:$E$142,5,0)</f>
        <v>1.764</v>
      </c>
      <c r="H70" s="263" t="s">
        <v>147</v>
      </c>
      <c r="I70" s="393">
        <v>22.112286090432676</v>
      </c>
      <c r="J70" s="264">
        <v>19</v>
      </c>
      <c r="K70" s="264">
        <v>12</v>
      </c>
      <c r="L70" s="246">
        <v>228</v>
      </c>
      <c r="M70" s="260" t="s">
        <v>142</v>
      </c>
      <c r="N70" s="260" t="s">
        <v>125</v>
      </c>
      <c r="O70" s="261" t="s">
        <v>122</v>
      </c>
      <c r="P70" s="261" t="s">
        <v>122</v>
      </c>
      <c r="Q70" s="261" t="s">
        <v>163</v>
      </c>
      <c r="R70" s="261" t="s">
        <v>163</v>
      </c>
      <c r="S70" s="261" t="s">
        <v>125</v>
      </c>
      <c r="T70" s="261">
        <v>174.2</v>
      </c>
      <c r="U70" s="261">
        <v>78.7</v>
      </c>
      <c r="V70" s="261">
        <v>280.2</v>
      </c>
      <c r="W70" s="261">
        <v>282.8</v>
      </c>
      <c r="X70" s="261">
        <v>29.07</v>
      </c>
      <c r="Y70" s="261">
        <v>18.18</v>
      </c>
      <c r="Z70" s="261">
        <v>41.42</v>
      </c>
      <c r="AA70" s="261">
        <v>41.69</v>
      </c>
      <c r="AB70" s="261">
        <v>0.849</v>
      </c>
      <c r="AC70" s="261">
        <v>0.783</v>
      </c>
      <c r="AD70" s="260"/>
      <c r="AE70" s="260"/>
      <c r="AF70" s="260"/>
      <c r="AG70" s="260"/>
      <c r="AH70" s="446">
        <f>data2!$C69+data2!$B69*T70</f>
        <v>29.15449324015176</v>
      </c>
      <c r="AI70" s="446">
        <f t="shared" si="6"/>
        <v>29.07</v>
      </c>
      <c r="AJ70" s="457">
        <f t="shared" si="7"/>
        <v>0.0028981206929501193</v>
      </c>
      <c r="AK70" s="446">
        <f>IF(I70&gt;=30,data2!B69*'Proposed Spec Lines'!$E$6+data2!C69,IF(G70&gt;=1.1,data2!B69*'Proposed Spec Lines'!$C$6+data2!C69,data2!B69*'Proposed Spec Lines'!$D$6+data2!C69))</f>
        <v>32.131355520725556</v>
      </c>
      <c r="AL70" s="445">
        <f>IF(I70&gt;=30,'Proposed Spec Lines'!$E$6,IF(G70&gt;=1.1,'Proposed Spec Lines'!$C$6,'Proposed Spec Lines'!$D$6))</f>
        <v>200</v>
      </c>
      <c r="AM70" s="446">
        <f t="shared" si="4"/>
        <v>32.131355520725556</v>
      </c>
      <c r="AN70" s="445">
        <f t="shared" si="5"/>
        <v>200</v>
      </c>
      <c r="AO70" s="446">
        <f>IF(O70="Y",'Proposed Spec Lines'!$G$6*AM70+'Proposed Spec Lines'!$G$5*Y70,AM70)</f>
        <v>29.341084416580447</v>
      </c>
      <c r="AP70" s="445">
        <f>IF(O70="Y",'Proposed Spec Lines'!$G$6*AN70+'Proposed Spec Lines'!$G$5*U70,AN70)</f>
        <v>175.74</v>
      </c>
      <c r="AR70" s="458"/>
    </row>
    <row r="71" spans="1:44" ht="11.25">
      <c r="A71" s="416">
        <v>69</v>
      </c>
      <c r="B71" s="294">
        <v>39533</v>
      </c>
      <c r="C71" s="262" t="s">
        <v>118</v>
      </c>
      <c r="D71" s="274" t="s">
        <v>171</v>
      </c>
      <c r="E71" s="261" t="s">
        <v>127</v>
      </c>
      <c r="F71" s="260" t="s">
        <v>1</v>
      </c>
      <c r="G71" s="414">
        <f>VLOOKUP($A71,'Spec Analysis_ScreenSize'!$A$2:$E$142,5,0)</f>
        <v>2.304</v>
      </c>
      <c r="H71" s="260" t="s">
        <v>147</v>
      </c>
      <c r="I71" s="394">
        <v>24.06779438414441</v>
      </c>
      <c r="J71" s="295">
        <v>20.409448818897644</v>
      </c>
      <c r="K71" s="295">
        <v>12.755905511811024</v>
      </c>
      <c r="L71" s="246">
        <v>260.34100068200144</v>
      </c>
      <c r="M71" s="260" t="s">
        <v>142</v>
      </c>
      <c r="N71" s="260" t="s">
        <v>125</v>
      </c>
      <c r="O71" s="261" t="s">
        <v>122</v>
      </c>
      <c r="P71" s="261" t="s">
        <v>122</v>
      </c>
      <c r="Q71" s="261" t="s">
        <v>163</v>
      </c>
      <c r="R71" s="260" t="s">
        <v>163</v>
      </c>
      <c r="S71" s="260" t="s">
        <v>125</v>
      </c>
      <c r="T71" s="260">
        <v>238.9</v>
      </c>
      <c r="U71" s="260">
        <v>238.9</v>
      </c>
      <c r="V71" s="260">
        <v>411.8</v>
      </c>
      <c r="W71" s="260">
        <v>564.4</v>
      </c>
      <c r="X71" s="260">
        <v>44.25</v>
      </c>
      <c r="Y71" s="260">
        <v>44.25</v>
      </c>
      <c r="Z71" s="260">
        <v>63.45</v>
      </c>
      <c r="AA71" s="260">
        <v>79.42</v>
      </c>
      <c r="AB71" s="260">
        <v>1.188</v>
      </c>
      <c r="AC71" s="260">
        <v>0.819</v>
      </c>
      <c r="AD71" s="260"/>
      <c r="AE71" s="260"/>
      <c r="AF71" s="260"/>
      <c r="AG71" s="260"/>
      <c r="AH71" s="446">
        <f>data2!$C70+data2!$B70*T71</f>
        <v>44.33727720634161</v>
      </c>
      <c r="AI71" s="446">
        <f t="shared" si="6"/>
        <v>44.25</v>
      </c>
      <c r="AJ71" s="457">
        <f t="shared" si="7"/>
        <v>0.0019684836742552016</v>
      </c>
      <c r="AK71" s="446">
        <f>IF(I71&gt;=30,data2!B70*'Proposed Spec Lines'!$E$6+data2!C70,IF(G71&gt;=1.1,data2!B70*'Proposed Spec Lines'!$C$6+data2!C70,data2!B70*'Proposed Spec Lines'!$D$6+data2!C70))</f>
        <v>40.12095965679657</v>
      </c>
      <c r="AL71" s="445">
        <f>IF(I71&gt;=30,'Proposed Spec Lines'!$E$6,IF(G71&gt;=1.1,'Proposed Spec Lines'!$C$6,'Proposed Spec Lines'!$D$6))</f>
        <v>200</v>
      </c>
      <c r="AM71" s="446">
        <f t="shared" si="4"/>
        <v>40.12095965679657</v>
      </c>
      <c r="AN71" s="445">
        <f t="shared" si="5"/>
        <v>200</v>
      </c>
      <c r="AO71" s="446">
        <f>IF(O71="Y",'Proposed Spec Lines'!$G$6*AM71+'Proposed Spec Lines'!$G$5*Y71,AM71)</f>
        <v>40.94676772543726</v>
      </c>
      <c r="AP71" s="445">
        <f>IF(O71="Y",'Proposed Spec Lines'!$G$6*AN71+'Proposed Spec Lines'!$G$5*U71,AN71)</f>
        <v>207.78</v>
      </c>
      <c r="AR71" s="458"/>
    </row>
    <row r="72" spans="1:44" ht="11.25">
      <c r="A72" s="447">
        <v>70</v>
      </c>
      <c r="B72" s="294">
        <v>39519</v>
      </c>
      <c r="C72" s="274" t="s">
        <v>118</v>
      </c>
      <c r="D72" s="274" t="s">
        <v>171</v>
      </c>
      <c r="E72" s="260" t="s">
        <v>127</v>
      </c>
      <c r="F72" s="260" t="s">
        <v>3</v>
      </c>
      <c r="G72" s="414">
        <f>VLOOKUP($A72,'Spec Analysis_ScreenSize'!$A$2:$E$142,5,0)</f>
        <v>1.31072</v>
      </c>
      <c r="H72" s="260" t="s">
        <v>147</v>
      </c>
      <c r="I72" s="394">
        <v>17.037352301679594</v>
      </c>
      <c r="J72" s="295">
        <v>17.037352301679594</v>
      </c>
      <c r="K72" s="295">
        <v>10.643149606299215</v>
      </c>
      <c r="L72" s="246">
        <v>181.3310894420022</v>
      </c>
      <c r="M72" s="260"/>
      <c r="N72" s="260" t="s">
        <v>125</v>
      </c>
      <c r="O72" s="260"/>
      <c r="P72" s="260" t="s">
        <v>122</v>
      </c>
      <c r="Q72" s="260"/>
      <c r="R72" s="260"/>
      <c r="S72" s="260" t="s">
        <v>125</v>
      </c>
      <c r="T72" s="260">
        <v>175.8</v>
      </c>
      <c r="U72" s="260">
        <v>78.1</v>
      </c>
      <c r="V72" s="260">
        <v>226.7</v>
      </c>
      <c r="W72" s="260" t="s">
        <v>138</v>
      </c>
      <c r="X72" s="260">
        <v>23.94</v>
      </c>
      <c r="Y72" s="260">
        <v>15.61</v>
      </c>
      <c r="Z72" s="260">
        <v>28.29</v>
      </c>
      <c r="AA72" s="260" t="s">
        <v>138</v>
      </c>
      <c r="AB72" s="260">
        <v>0.873</v>
      </c>
      <c r="AC72" s="260">
        <v>0.657</v>
      </c>
      <c r="AD72" s="260"/>
      <c r="AE72" s="260"/>
      <c r="AF72" s="260"/>
      <c r="AG72" s="260"/>
      <c r="AH72" s="446">
        <f>data2!$C71+data2!$B71*T72</f>
        <v>23.94433405049848</v>
      </c>
      <c r="AI72" s="446">
        <f t="shared" si="6"/>
        <v>23.94</v>
      </c>
      <c r="AJ72" s="457">
        <f t="shared" si="7"/>
        <v>0.00018100526368108034</v>
      </c>
      <c r="AK72" s="446">
        <f>IF(I72&gt;=30,data2!B71*'Proposed Spec Lines'!$E$6+data2!C71,IF(G72&gt;=1.1,data2!B71*'Proposed Spec Lines'!$C$6+data2!C71,data2!B71*'Proposed Spec Lines'!$D$6+data2!C71))</f>
        <v>26.00909157328031</v>
      </c>
      <c r="AL72" s="445">
        <f>IF(I72&gt;=30,'Proposed Spec Lines'!$E$6,IF(G72&gt;=1.1,'Proposed Spec Lines'!$C$6,'Proposed Spec Lines'!$D$6))</f>
        <v>200</v>
      </c>
      <c r="AM72" s="446">
        <f t="shared" si="4"/>
        <v>26.00909157328031</v>
      </c>
      <c r="AN72" s="445">
        <f t="shared" si="5"/>
        <v>200</v>
      </c>
      <c r="AO72" s="446">
        <f>IF(O72="Y",'Proposed Spec Lines'!$G$6*AM72+'Proposed Spec Lines'!$G$5*Y72,AM72)</f>
        <v>26.00909157328031</v>
      </c>
      <c r="AP72" s="445">
        <f>IF(O72="Y",'Proposed Spec Lines'!$G$6*AN72+'Proposed Spec Lines'!$G$5*U72,AN72)</f>
        <v>200</v>
      </c>
      <c r="AR72" s="458"/>
    </row>
    <row r="73" spans="1:44" s="421" customFormat="1" ht="11.25">
      <c r="A73" s="416">
        <v>71</v>
      </c>
      <c r="B73" s="294">
        <v>39471</v>
      </c>
      <c r="C73" s="274" t="s">
        <v>118</v>
      </c>
      <c r="D73" s="274" t="s">
        <v>171</v>
      </c>
      <c r="E73" s="260" t="s">
        <v>127</v>
      </c>
      <c r="F73" s="260" t="s">
        <v>15</v>
      </c>
      <c r="G73" s="414">
        <f>VLOOKUP($A73,'Spec Analysis_ScreenSize'!$A$2:$E$142,5,0)</f>
        <v>0.9216</v>
      </c>
      <c r="H73" s="472" t="s">
        <v>147</v>
      </c>
      <c r="I73" s="394">
        <v>15.00405277260778</v>
      </c>
      <c r="J73" s="295">
        <v>15.00405277260778</v>
      </c>
      <c r="K73" s="295">
        <v>13.07716535433071</v>
      </c>
      <c r="L73" s="246">
        <v>196.2104790924961</v>
      </c>
      <c r="M73" s="260"/>
      <c r="N73" s="260" t="s">
        <v>132</v>
      </c>
      <c r="O73" s="260"/>
      <c r="P73" s="260" t="s">
        <v>122</v>
      </c>
      <c r="Q73" s="260"/>
      <c r="R73" s="260"/>
      <c r="S73" s="260" t="s">
        <v>132</v>
      </c>
      <c r="T73" s="260">
        <v>174.9</v>
      </c>
      <c r="U73" s="260">
        <v>48.9</v>
      </c>
      <c r="V73" s="260">
        <v>178.1</v>
      </c>
      <c r="W73" s="260">
        <v>179.8</v>
      </c>
      <c r="X73" s="260">
        <v>15.48</v>
      </c>
      <c r="Y73" s="260">
        <v>9.81</v>
      </c>
      <c r="Z73" s="260">
        <v>16.51</v>
      </c>
      <c r="AA73" s="260">
        <v>16.58</v>
      </c>
      <c r="AB73" s="260">
        <v>0.678</v>
      </c>
      <c r="AC73" s="260">
        <v>0.477</v>
      </c>
      <c r="AD73" s="260"/>
      <c r="AE73" s="260"/>
      <c r="AF73" s="260"/>
      <c r="AG73" s="260"/>
      <c r="AH73" s="422">
        <f>data2!$C72+data2!$B72*T73</f>
        <v>16.06165599563656</v>
      </c>
      <c r="AI73" s="422">
        <f t="shared" si="6"/>
        <v>15.48</v>
      </c>
      <c r="AJ73" s="423">
        <f t="shared" si="7"/>
        <v>0.03621394928359671</v>
      </c>
      <c r="AK73" s="422">
        <f>IF(I73&gt;=30,data2!B72*'Proposed Spec Lines'!$E$6+data2!C72,IF(G73&gt;=1.1,data2!B72*'Proposed Spec Lines'!$C$6+data2!C72,data2!B72*'Proposed Spec Lines'!$D$6+data2!C72))</f>
        <v>16.06663192776764</v>
      </c>
      <c r="AL73" s="424">
        <f>IF(I73&gt;=30,'Proposed Spec Lines'!$E$6,IF(G73&gt;=1.1,'Proposed Spec Lines'!$C$6,'Proposed Spec Lines'!$D$6))</f>
        <v>175</v>
      </c>
      <c r="AM73" s="422">
        <f aca="true" t="shared" si="8" ref="AM73:AM136">IF($AL73=175,X73,IF($W73&lt;$AL73,$AA73,$AK73))</f>
        <v>15.48</v>
      </c>
      <c r="AN73" s="424">
        <f aca="true" t="shared" si="9" ref="AN73:AN136">IF($AL73=175,T73,IF($AL73&gt;W73,W73,$AL73))</f>
        <v>174.9</v>
      </c>
      <c r="AO73" s="446">
        <f>IF(O73="Y",'Proposed Spec Lines'!$G$6*AM73+'Proposed Spec Lines'!$G$5*Y73,AM73)</f>
        <v>15.48</v>
      </c>
      <c r="AP73" s="445">
        <f>IF(O73="Y",'Proposed Spec Lines'!$G$6*AN73+'Proposed Spec Lines'!$G$5*U73,AN73)</f>
        <v>174.9</v>
      </c>
      <c r="AR73" s="425"/>
    </row>
    <row r="74" spans="1:44" ht="11.25">
      <c r="A74" s="416">
        <v>72</v>
      </c>
      <c r="B74" s="294">
        <v>39519</v>
      </c>
      <c r="C74" s="274" t="s">
        <v>118</v>
      </c>
      <c r="D74" s="274" t="s">
        <v>171</v>
      </c>
      <c r="E74" s="260" t="s">
        <v>127</v>
      </c>
      <c r="F74" s="260" t="s">
        <v>2</v>
      </c>
      <c r="G74" s="414">
        <f>VLOOKUP($A74,'Spec Analysis_ScreenSize'!$A$2:$E$142,5,0)</f>
        <v>1.764</v>
      </c>
      <c r="H74" s="260" t="s">
        <v>147</v>
      </c>
      <c r="I74" s="394">
        <v>22.112286090432676</v>
      </c>
      <c r="J74" s="295">
        <v>22.112286090432676</v>
      </c>
      <c r="K74" s="295">
        <v>18.751181102362203</v>
      </c>
      <c r="L74" s="246">
        <v>414.6314810689478</v>
      </c>
      <c r="M74" s="260"/>
      <c r="N74" s="260" t="s">
        <v>132</v>
      </c>
      <c r="O74" s="260"/>
      <c r="P74" s="260" t="s">
        <v>122</v>
      </c>
      <c r="Q74" s="260"/>
      <c r="R74" s="260"/>
      <c r="S74" s="260" t="s">
        <v>132</v>
      </c>
      <c r="T74" s="260">
        <v>175.2</v>
      </c>
      <c r="U74" s="260">
        <v>92.3</v>
      </c>
      <c r="V74" s="260">
        <v>255.7</v>
      </c>
      <c r="W74" s="260" t="s">
        <v>138</v>
      </c>
      <c r="X74" s="260">
        <v>25.09</v>
      </c>
      <c r="Y74" s="260">
        <v>18.58</v>
      </c>
      <c r="Z74" s="260">
        <v>30.71</v>
      </c>
      <c r="AA74" s="260" t="s">
        <v>138</v>
      </c>
      <c r="AB74" s="260">
        <v>0.882</v>
      </c>
      <c r="AC74" s="260">
        <v>0.663</v>
      </c>
      <c r="AD74" s="260"/>
      <c r="AE74" s="260"/>
      <c r="AF74" s="260"/>
      <c r="AG74" s="260"/>
      <c r="AH74" s="446">
        <f>data2!$C73+data2!$B73*T74</f>
        <v>24.852738400018772</v>
      </c>
      <c r="AI74" s="446">
        <f t="shared" si="6"/>
        <v>25.09</v>
      </c>
      <c r="AJ74" s="457">
        <f t="shared" si="7"/>
        <v>-0.00954669848297475</v>
      </c>
      <c r="AK74" s="446">
        <f>IF(I74&gt;=30,data2!B73*'Proposed Spec Lines'!$E$6+data2!C73,IF(G74&gt;=1.1,data2!B73*'Proposed Spec Lines'!$C$6+data2!C73,data2!B73*'Proposed Spec Lines'!$D$6+data2!C73))</f>
        <v>26.694295467267487</v>
      </c>
      <c r="AL74" s="445">
        <f>IF(I74&gt;=30,'Proposed Spec Lines'!$E$6,IF(G74&gt;=1.1,'Proposed Spec Lines'!$C$6,'Proposed Spec Lines'!$D$6))</f>
        <v>200</v>
      </c>
      <c r="AM74" s="446">
        <f t="shared" si="8"/>
        <v>26.694295467267487</v>
      </c>
      <c r="AN74" s="445">
        <f t="shared" si="9"/>
        <v>200</v>
      </c>
      <c r="AO74" s="446">
        <f>IF(O74="Y",'Proposed Spec Lines'!$G$6*AM74+'Proposed Spec Lines'!$G$5*Y74,AM74)</f>
        <v>26.694295467267487</v>
      </c>
      <c r="AP74" s="445">
        <f>IF(O74="Y",'Proposed Spec Lines'!$G$6*AN74+'Proposed Spec Lines'!$G$5*U74,AN74)</f>
        <v>200</v>
      </c>
      <c r="AR74" s="458"/>
    </row>
    <row r="75" spans="1:44" ht="11.25">
      <c r="A75" s="447">
        <v>73</v>
      </c>
      <c r="B75" s="294">
        <v>39526</v>
      </c>
      <c r="C75" s="274" t="s">
        <v>118</v>
      </c>
      <c r="D75" s="274" t="s">
        <v>171</v>
      </c>
      <c r="E75" s="260" t="s">
        <v>127</v>
      </c>
      <c r="F75" s="260" t="s">
        <v>2</v>
      </c>
      <c r="G75" s="414">
        <f>VLOOKUP($A75,'Spec Analysis_ScreenSize'!$A$2:$E$142,5,0)</f>
        <v>1.764</v>
      </c>
      <c r="H75" s="260" t="s">
        <v>147</v>
      </c>
      <c r="I75" s="394">
        <v>21.99528986773197</v>
      </c>
      <c r="J75" s="295">
        <v>21.99528986773197</v>
      </c>
      <c r="K75" s="295">
        <v>11.65748031496063</v>
      </c>
      <c r="L75" s="246">
        <v>256.4096586549384</v>
      </c>
      <c r="M75" s="260"/>
      <c r="N75" s="260" t="s">
        <v>125</v>
      </c>
      <c r="O75" s="260"/>
      <c r="P75" s="260" t="s">
        <v>122</v>
      </c>
      <c r="Q75" s="260"/>
      <c r="R75" s="260"/>
      <c r="S75" s="260" t="s">
        <v>125</v>
      </c>
      <c r="T75" s="260">
        <v>174.8</v>
      </c>
      <c r="U75" s="260">
        <v>68.98</v>
      </c>
      <c r="V75" s="260">
        <v>226.4</v>
      </c>
      <c r="W75" s="260">
        <v>284.8</v>
      </c>
      <c r="X75" s="260">
        <v>31.66</v>
      </c>
      <c r="Y75" s="260">
        <v>19.44</v>
      </c>
      <c r="Z75" s="260">
        <v>37.08</v>
      </c>
      <c r="AA75" s="260">
        <v>43.65</v>
      </c>
      <c r="AB75" s="260">
        <v>0.837</v>
      </c>
      <c r="AC75" s="260">
        <v>0.636</v>
      </c>
      <c r="AD75" s="260"/>
      <c r="AE75" s="260"/>
      <c r="AF75" s="260"/>
      <c r="AG75" s="260"/>
      <c r="AH75" s="446">
        <f>data2!$C74+data2!$B74*T75</f>
        <v>31.396286377333624</v>
      </c>
      <c r="AI75" s="446">
        <f t="shared" si="6"/>
        <v>31.66</v>
      </c>
      <c r="AJ75" s="457">
        <f t="shared" si="7"/>
        <v>-0.008399516410856888</v>
      </c>
      <c r="AK75" s="446">
        <f>IF(I75&gt;=30,data2!B74*'Proposed Spec Lines'!$E$6+data2!C74,IF(G75&gt;=1.1,data2!B74*'Proposed Spec Lines'!$C$6+data2!C74,data2!B74*'Proposed Spec Lines'!$D$6+data2!C74))</f>
        <v>34.217554451280755</v>
      </c>
      <c r="AL75" s="445">
        <f>IF(I75&gt;=30,'Proposed Spec Lines'!$E$6,IF(G75&gt;=1.1,'Proposed Spec Lines'!$C$6,'Proposed Spec Lines'!$D$6))</f>
        <v>200</v>
      </c>
      <c r="AM75" s="446">
        <f t="shared" si="8"/>
        <v>34.217554451280755</v>
      </c>
      <c r="AN75" s="445">
        <f t="shared" si="9"/>
        <v>200</v>
      </c>
      <c r="AO75" s="446">
        <f>IF(O75="Y",'Proposed Spec Lines'!$G$6*AM75+'Proposed Spec Lines'!$G$5*Y75,AM75)</f>
        <v>34.217554451280755</v>
      </c>
      <c r="AP75" s="445">
        <f>IF(O75="Y",'Proposed Spec Lines'!$G$6*AN75+'Proposed Spec Lines'!$G$5*U75,AN75)</f>
        <v>200</v>
      </c>
      <c r="AR75" s="458"/>
    </row>
    <row r="76" spans="1:44" ht="45">
      <c r="A76" s="416">
        <v>74</v>
      </c>
      <c r="B76" s="286">
        <v>39471</v>
      </c>
      <c r="C76" s="243" t="s">
        <v>118</v>
      </c>
      <c r="D76" s="258" t="s">
        <v>119</v>
      </c>
      <c r="E76" s="242" t="s">
        <v>120</v>
      </c>
      <c r="F76" s="242" t="s">
        <v>18</v>
      </c>
      <c r="G76" s="414">
        <f>VLOOKUP($A76,'Spec Analysis_ScreenSize'!$A$2:$E$142,5,0)</f>
        <v>1.04448</v>
      </c>
      <c r="H76" s="257" t="s">
        <v>153</v>
      </c>
      <c r="I76" s="388">
        <v>46</v>
      </c>
      <c r="J76" s="246"/>
      <c r="K76" s="246"/>
      <c r="L76" s="246">
        <v>0</v>
      </c>
      <c r="M76" s="247" t="s">
        <v>141</v>
      </c>
      <c r="N76" s="247" t="s">
        <v>172</v>
      </c>
      <c r="O76" s="242" t="s">
        <v>123</v>
      </c>
      <c r="P76" s="242"/>
      <c r="Q76" s="242"/>
      <c r="R76" s="242" t="s">
        <v>173</v>
      </c>
      <c r="S76" s="242" t="s">
        <v>174</v>
      </c>
      <c r="T76" s="242">
        <v>178</v>
      </c>
      <c r="U76" s="242">
        <v>110</v>
      </c>
      <c r="V76" s="242">
        <v>498</v>
      </c>
      <c r="W76" s="242">
        <v>498</v>
      </c>
      <c r="X76" s="242">
        <v>132</v>
      </c>
      <c r="Y76" s="242">
        <v>107</v>
      </c>
      <c r="Z76" s="242">
        <v>276</v>
      </c>
      <c r="AA76" s="242">
        <v>276</v>
      </c>
      <c r="AB76" s="242">
        <v>0.78</v>
      </c>
      <c r="AC76" s="242">
        <v>0.81</v>
      </c>
      <c r="AD76" s="247"/>
      <c r="AE76" s="247"/>
      <c r="AF76" s="247"/>
      <c r="AG76" s="247"/>
      <c r="AH76" s="446">
        <f>data2!$C75+data2!$B75*T76</f>
        <v>134.72391638198513</v>
      </c>
      <c r="AI76" s="446">
        <f t="shared" si="6"/>
        <v>132</v>
      </c>
      <c r="AJ76" s="457">
        <f t="shared" si="7"/>
        <v>0.020218506521603525</v>
      </c>
      <c r="AK76" s="446">
        <f>IF(I76&gt;=30,data2!B75*'Proposed Spec Lines'!$E$6+data2!C75,IF(G76&gt;=1.1,data2!B75*'Proposed Spec Lines'!$C$6+data2!C75,data2!B75*'Proposed Spec Lines'!$D$6+data2!C75))</f>
        <v>210.53151346099602</v>
      </c>
      <c r="AL76" s="445">
        <f>IF(I76&gt;=30,'Proposed Spec Lines'!$E$6,IF(G76&gt;=1.1,'Proposed Spec Lines'!$C$6,'Proposed Spec Lines'!$D$6))</f>
        <v>350</v>
      </c>
      <c r="AM76" s="446">
        <f t="shared" si="8"/>
        <v>210.53151346099602</v>
      </c>
      <c r="AN76" s="445">
        <f t="shared" si="9"/>
        <v>350</v>
      </c>
      <c r="AO76" s="446">
        <f>IF(O76="Y",'Proposed Spec Lines'!$G$6*AM76+'Proposed Spec Lines'!$G$5*Y76,AM76)</f>
        <v>210.53151346099602</v>
      </c>
      <c r="AP76" s="445">
        <f>IF(O76="Y",'Proposed Spec Lines'!$G$6*AN76+'Proposed Spec Lines'!$G$5*U76,AN76)</f>
        <v>350</v>
      </c>
      <c r="AR76" s="458"/>
    </row>
    <row r="77" spans="1:44" ht="45">
      <c r="A77" s="416">
        <v>75</v>
      </c>
      <c r="B77" s="286">
        <v>39471</v>
      </c>
      <c r="C77" s="243" t="s">
        <v>118</v>
      </c>
      <c r="D77" s="258" t="s">
        <v>150</v>
      </c>
      <c r="E77" s="242"/>
      <c r="F77" s="242" t="s">
        <v>17</v>
      </c>
      <c r="G77" s="414">
        <f>VLOOKUP($A77,'Spec Analysis_ScreenSize'!$A$2:$E$142,5,0)</f>
        <v>2.0736</v>
      </c>
      <c r="H77" s="257" t="s">
        <v>153</v>
      </c>
      <c r="I77" s="387">
        <v>63</v>
      </c>
      <c r="J77" s="275"/>
      <c r="K77" s="275"/>
      <c r="L77" s="246">
        <v>0</v>
      </c>
      <c r="M77" s="247" t="s">
        <v>141</v>
      </c>
      <c r="N77" s="247" t="s">
        <v>172</v>
      </c>
      <c r="O77" s="242" t="s">
        <v>123</v>
      </c>
      <c r="P77" s="242"/>
      <c r="Q77" s="242"/>
      <c r="R77" s="242" t="s">
        <v>173</v>
      </c>
      <c r="S77" s="242" t="s">
        <v>174</v>
      </c>
      <c r="T77" s="247"/>
      <c r="U77" s="247">
        <v>1</v>
      </c>
      <c r="V77" s="247">
        <v>161</v>
      </c>
      <c r="W77" s="247">
        <v>161</v>
      </c>
      <c r="X77" s="485"/>
      <c r="Y77" s="242">
        <v>68</v>
      </c>
      <c r="Z77" s="242">
        <v>667</v>
      </c>
      <c r="AA77" s="242">
        <v>667</v>
      </c>
      <c r="AB77" s="242">
        <v>0.92</v>
      </c>
      <c r="AC77" s="242">
        <v>0.92</v>
      </c>
      <c r="AD77" s="247"/>
      <c r="AE77" s="247"/>
      <c r="AF77" s="247"/>
      <c r="AG77" s="247"/>
      <c r="AH77" s="486">
        <f>data2!$C76+data2!$B76*161</f>
        <v>667</v>
      </c>
      <c r="AI77" s="486">
        <f>Z77</f>
        <v>667</v>
      </c>
      <c r="AJ77" s="423">
        <f t="shared" si="7"/>
        <v>0</v>
      </c>
      <c r="AK77" s="446">
        <f>IF(I77&gt;=30,data2!B76*'Proposed Spec Lines'!$E$6+data2!C76,IF(G77&gt;=1.1,data2!B76*'Proposed Spec Lines'!$C$6+data2!C76,data2!B76*'Proposed Spec Lines'!$D$6+data2!C76))</f>
        <v>1374.56875</v>
      </c>
      <c r="AL77" s="445">
        <f>IF(I77&gt;=30,'Proposed Spec Lines'!$E$6,IF(G77&gt;=1.1,'Proposed Spec Lines'!$C$6,'Proposed Spec Lines'!$D$6))</f>
        <v>350</v>
      </c>
      <c r="AM77" s="446">
        <f t="shared" si="8"/>
        <v>667</v>
      </c>
      <c r="AN77" s="445">
        <f t="shared" si="9"/>
        <v>161</v>
      </c>
      <c r="AO77" s="446">
        <f>IF(O77="Y",'Proposed Spec Lines'!$G$6*AM77+'Proposed Spec Lines'!$G$5*Y77,AM77)</f>
        <v>667</v>
      </c>
      <c r="AP77" s="445">
        <f>IF(O77="Y",'Proposed Spec Lines'!$G$6*AN77+'Proposed Spec Lines'!$G$5*U77,AN77)</f>
        <v>161</v>
      </c>
      <c r="AR77" s="458"/>
    </row>
    <row r="78" spans="1:44" s="421" customFormat="1" ht="33.75">
      <c r="A78" s="447">
        <v>76</v>
      </c>
      <c r="B78" s="286">
        <v>39469</v>
      </c>
      <c r="C78" s="243" t="s">
        <v>31</v>
      </c>
      <c r="D78" s="258" t="s">
        <v>119</v>
      </c>
      <c r="E78" s="242" t="s">
        <v>127</v>
      </c>
      <c r="F78" s="247" t="s">
        <v>19</v>
      </c>
      <c r="G78" s="414">
        <f>VLOOKUP($A78,'Spec Analysis_ScreenSize'!$A$2:$E$142,5,0)</f>
        <v>0.384</v>
      </c>
      <c r="H78" s="257" t="s">
        <v>153</v>
      </c>
      <c r="I78" s="387">
        <v>7</v>
      </c>
      <c r="J78" s="275"/>
      <c r="K78" s="275"/>
      <c r="L78" s="246">
        <v>0</v>
      </c>
      <c r="M78" s="247" t="s">
        <v>134</v>
      </c>
      <c r="N78" s="247" t="s">
        <v>134</v>
      </c>
      <c r="O78" s="242" t="s">
        <v>123</v>
      </c>
      <c r="P78" s="242"/>
      <c r="Q78" s="242"/>
      <c r="R78" s="242" t="s">
        <v>175</v>
      </c>
      <c r="S78" s="247" t="s">
        <v>134</v>
      </c>
      <c r="T78" s="247">
        <v>175</v>
      </c>
      <c r="U78" s="247">
        <v>11</v>
      </c>
      <c r="V78" s="247">
        <v>176</v>
      </c>
      <c r="W78" s="247">
        <v>176</v>
      </c>
      <c r="X78" s="247">
        <v>10.9</v>
      </c>
      <c r="Y78" s="247">
        <v>10.9</v>
      </c>
      <c r="Z78" s="247">
        <v>10.9</v>
      </c>
      <c r="AA78" s="247">
        <v>10.9</v>
      </c>
      <c r="AB78" s="247"/>
      <c r="AC78" s="247">
        <v>0.32</v>
      </c>
      <c r="AD78" s="247" t="s">
        <v>128</v>
      </c>
      <c r="AE78" s="247">
        <v>24</v>
      </c>
      <c r="AF78" s="247">
        <v>82</v>
      </c>
      <c r="AG78" s="247">
        <v>0.21</v>
      </c>
      <c r="AH78" s="422">
        <f>data2!$C77+data2!$B77*T78</f>
        <v>10.900000000000007</v>
      </c>
      <c r="AI78" s="422">
        <f t="shared" si="6"/>
        <v>10.9</v>
      </c>
      <c r="AJ78" s="423">
        <f t="shared" si="7"/>
        <v>6.518740695046786E-16</v>
      </c>
      <c r="AK78" s="422">
        <f>IF(I78&gt;=30,data2!B77*'Proposed Spec Lines'!$E$6+data2!C77,IF(G78&gt;=1.1,data2!B77*'Proposed Spec Lines'!$C$6+data2!C77,data2!B77*'Proposed Spec Lines'!$D$6+data2!C77))</f>
        <v>10.900000000000007</v>
      </c>
      <c r="AL78" s="424">
        <f>IF(I78&gt;=30,'Proposed Spec Lines'!$E$6,IF(G78&gt;=1.1,'Proposed Spec Lines'!$C$6,'Proposed Spec Lines'!$D$6))</f>
        <v>175</v>
      </c>
      <c r="AM78" s="422">
        <f t="shared" si="8"/>
        <v>10.9</v>
      </c>
      <c r="AN78" s="424">
        <f t="shared" si="9"/>
        <v>175</v>
      </c>
      <c r="AO78" s="422">
        <f>IF(O78="Y",'Proposed Spec Lines'!$G$6*AM78+'Proposed Spec Lines'!$G$5*Y78,AM78)</f>
        <v>10.9</v>
      </c>
      <c r="AP78" s="424">
        <f>IF(O78="Y",'Proposed Spec Lines'!$G$6*AN78+'Proposed Spec Lines'!$G$5*U78,AN78)</f>
        <v>175</v>
      </c>
      <c r="AR78" s="425"/>
    </row>
    <row r="79" spans="1:44" ht="45">
      <c r="A79" s="416">
        <v>77</v>
      </c>
      <c r="B79" s="286">
        <v>39471</v>
      </c>
      <c r="C79" s="243" t="s">
        <v>118</v>
      </c>
      <c r="D79" s="258" t="s">
        <v>119</v>
      </c>
      <c r="E79" s="242" t="s">
        <v>120</v>
      </c>
      <c r="F79" s="242" t="s">
        <v>18</v>
      </c>
      <c r="G79" s="414">
        <f>VLOOKUP($A79,'Spec Analysis_ScreenSize'!$A$2:$E$142,5,0)</f>
        <v>1.04448</v>
      </c>
      <c r="H79" s="257" t="s">
        <v>153</v>
      </c>
      <c r="I79" s="388">
        <v>32</v>
      </c>
      <c r="J79" s="246"/>
      <c r="K79" s="246"/>
      <c r="L79" s="246">
        <v>0</v>
      </c>
      <c r="M79" s="247" t="s">
        <v>141</v>
      </c>
      <c r="N79" s="247" t="s">
        <v>172</v>
      </c>
      <c r="O79" s="242" t="s">
        <v>123</v>
      </c>
      <c r="P79" s="242"/>
      <c r="Q79" s="242"/>
      <c r="R79" s="242" t="s">
        <v>173</v>
      </c>
      <c r="S79" s="242" t="s">
        <v>174</v>
      </c>
      <c r="T79" s="242">
        <v>175</v>
      </c>
      <c r="U79" s="242">
        <v>126</v>
      </c>
      <c r="V79" s="242">
        <v>388</v>
      </c>
      <c r="W79" s="242">
        <v>388</v>
      </c>
      <c r="X79" s="242">
        <v>74</v>
      </c>
      <c r="Y79" s="242">
        <v>59</v>
      </c>
      <c r="Z79" s="242">
        <v>129</v>
      </c>
      <c r="AA79" s="242">
        <v>129</v>
      </c>
      <c r="AB79" s="242">
        <v>0.95</v>
      </c>
      <c r="AC79" s="242">
        <v>0.95</v>
      </c>
      <c r="AD79" s="247"/>
      <c r="AE79" s="247"/>
      <c r="AF79" s="247"/>
      <c r="AG79" s="247"/>
      <c r="AH79" s="446">
        <f>data2!$C78+data2!$B78*T79</f>
        <v>72.86298046669879</v>
      </c>
      <c r="AI79" s="446">
        <f t="shared" si="6"/>
        <v>74</v>
      </c>
      <c r="AJ79" s="457">
        <f t="shared" si="7"/>
        <v>-0.0156049001292347</v>
      </c>
      <c r="AK79" s="446">
        <f>IF(I79&gt;=30,data2!B78*'Proposed Spec Lines'!$E$6+data2!C78,IF(G79&gt;=1.1,data2!B78*'Proposed Spec Lines'!$C$6+data2!C78,data2!B78*'Proposed Spec Lines'!$D$6+data2!C78))</f>
        <v>119.07230055505649</v>
      </c>
      <c r="AL79" s="445">
        <f>IF(I79&gt;=30,'Proposed Spec Lines'!$E$6,IF(G79&gt;=1.1,'Proposed Spec Lines'!$C$6,'Proposed Spec Lines'!$D$6))</f>
        <v>350</v>
      </c>
      <c r="AM79" s="446">
        <f t="shared" si="8"/>
        <v>119.07230055505649</v>
      </c>
      <c r="AN79" s="445">
        <f t="shared" si="9"/>
        <v>350</v>
      </c>
      <c r="AO79" s="446">
        <f>IF(O79="Y",'Proposed Spec Lines'!$G$6*AM79+'Proposed Spec Lines'!$G$5*Y79,AM79)</f>
        <v>119.07230055505649</v>
      </c>
      <c r="AP79" s="445">
        <f>IF(O79="Y",'Proposed Spec Lines'!$G$6*AN79+'Proposed Spec Lines'!$G$5*U79,AN79)</f>
        <v>350</v>
      </c>
      <c r="AR79" s="458"/>
    </row>
    <row r="80" spans="1:44" ht="45">
      <c r="A80" s="416">
        <v>78</v>
      </c>
      <c r="B80" s="286">
        <v>39471</v>
      </c>
      <c r="C80" s="243" t="s">
        <v>118</v>
      </c>
      <c r="D80" s="258" t="s">
        <v>119</v>
      </c>
      <c r="E80" s="242" t="s">
        <v>120</v>
      </c>
      <c r="F80" s="242" t="s">
        <v>17</v>
      </c>
      <c r="G80" s="414">
        <f>VLOOKUP($A80,'Spec Analysis_ScreenSize'!$A$2:$E$142,5,0)</f>
        <v>2.0736</v>
      </c>
      <c r="H80" s="257" t="s">
        <v>153</v>
      </c>
      <c r="I80" s="388">
        <v>57</v>
      </c>
      <c r="J80" s="246"/>
      <c r="K80" s="246"/>
      <c r="L80" s="246">
        <v>0</v>
      </c>
      <c r="M80" s="247" t="s">
        <v>141</v>
      </c>
      <c r="N80" s="247" t="s">
        <v>172</v>
      </c>
      <c r="O80" s="242" t="s">
        <v>123</v>
      </c>
      <c r="P80" s="242"/>
      <c r="Q80" s="242"/>
      <c r="R80" s="242" t="s">
        <v>173</v>
      </c>
      <c r="S80" s="242" t="s">
        <v>174</v>
      </c>
      <c r="T80" s="242">
        <v>179</v>
      </c>
      <c r="U80" s="242">
        <v>134</v>
      </c>
      <c r="V80" s="242">
        <v>405</v>
      </c>
      <c r="W80" s="242">
        <v>405</v>
      </c>
      <c r="X80" s="242">
        <v>182</v>
      </c>
      <c r="Y80" s="242">
        <v>151</v>
      </c>
      <c r="Z80" s="242">
        <v>389</v>
      </c>
      <c r="AA80" s="242">
        <v>389</v>
      </c>
      <c r="AB80" s="242">
        <v>0.7</v>
      </c>
      <c r="AC80" s="242">
        <v>0.7</v>
      </c>
      <c r="AD80" s="247"/>
      <c r="AE80" s="247"/>
      <c r="AF80" s="247"/>
      <c r="AG80" s="247"/>
      <c r="AH80" s="446">
        <f>data2!$C79+data2!$B79*T80</f>
        <v>186.98479640243926</v>
      </c>
      <c r="AI80" s="446">
        <f t="shared" si="6"/>
        <v>182</v>
      </c>
      <c r="AJ80" s="457">
        <f t="shared" si="7"/>
        <v>0.026658832687715944</v>
      </c>
      <c r="AK80" s="446">
        <f>IF(I80&gt;=30,data2!B79*'Proposed Spec Lines'!$E$6+data2!C79,IF(G80&gt;=1.1,data2!B79*'Proposed Spec Lines'!$C$6+data2!C79,data2!B79*'Proposed Spec Lines'!$D$6+data2!C79))</f>
        <v>339.5238609251212</v>
      </c>
      <c r="AL80" s="445">
        <f>IF(I80&gt;=30,'Proposed Spec Lines'!$E$6,IF(G80&gt;=1.1,'Proposed Spec Lines'!$C$6,'Proposed Spec Lines'!$D$6))</f>
        <v>350</v>
      </c>
      <c r="AM80" s="446">
        <f t="shared" si="8"/>
        <v>339.5238609251212</v>
      </c>
      <c r="AN80" s="445">
        <f t="shared" si="9"/>
        <v>350</v>
      </c>
      <c r="AO80" s="446">
        <f>IF(O80="Y",'Proposed Spec Lines'!$G$6*AM80+'Proposed Spec Lines'!$G$5*Y80,AM80)</f>
        <v>339.5238609251212</v>
      </c>
      <c r="AP80" s="445">
        <f>IF(O80="Y",'Proposed Spec Lines'!$G$6*AN80+'Proposed Spec Lines'!$G$5*U80,AN80)</f>
        <v>350</v>
      </c>
      <c r="AR80" s="458"/>
    </row>
    <row r="81" spans="1:44" ht="45">
      <c r="A81" s="447">
        <v>79</v>
      </c>
      <c r="B81" s="286">
        <v>39471</v>
      </c>
      <c r="C81" s="243" t="s">
        <v>118</v>
      </c>
      <c r="D81" s="258" t="s">
        <v>119</v>
      </c>
      <c r="E81" s="242" t="s">
        <v>120</v>
      </c>
      <c r="F81" s="242" t="s">
        <v>17</v>
      </c>
      <c r="G81" s="414">
        <f>VLOOKUP($A81,'Spec Analysis_ScreenSize'!$A$2:$E$142,5,0)</f>
        <v>2.0736</v>
      </c>
      <c r="H81" s="257" t="s">
        <v>153</v>
      </c>
      <c r="I81" s="387">
        <v>82</v>
      </c>
      <c r="J81" s="275"/>
      <c r="K81" s="275"/>
      <c r="L81" s="246">
        <v>0</v>
      </c>
      <c r="M81" s="247" t="s">
        <v>141</v>
      </c>
      <c r="N81" s="247" t="s">
        <v>172</v>
      </c>
      <c r="O81" s="242" t="s">
        <v>123</v>
      </c>
      <c r="P81" s="242"/>
      <c r="Q81" s="242"/>
      <c r="R81" s="242" t="s">
        <v>173</v>
      </c>
      <c r="S81" s="242" t="s">
        <v>174</v>
      </c>
      <c r="T81" s="247"/>
      <c r="U81" s="247">
        <v>194</v>
      </c>
      <c r="V81" s="247">
        <v>598</v>
      </c>
      <c r="W81" s="247">
        <v>598</v>
      </c>
      <c r="X81" s="485"/>
      <c r="Y81" s="242">
        <v>355</v>
      </c>
      <c r="Z81" s="242">
        <v>944</v>
      </c>
      <c r="AA81" s="242">
        <v>944</v>
      </c>
      <c r="AB81" s="242">
        <v>0.9</v>
      </c>
      <c r="AC81" s="242">
        <v>0.9</v>
      </c>
      <c r="AD81" s="247"/>
      <c r="AE81" s="247"/>
      <c r="AF81" s="247"/>
      <c r="AG81" s="247"/>
      <c r="AH81" s="486">
        <f>data2!$C80+data2!$B80*598</f>
        <v>944</v>
      </c>
      <c r="AI81" s="486">
        <f>AA81</f>
        <v>944</v>
      </c>
      <c r="AJ81" s="423">
        <f t="shared" si="7"/>
        <v>0</v>
      </c>
      <c r="AK81" s="446">
        <f>IF(I81&gt;=30,data2!B80*'Proposed Spec Lines'!$E$6+data2!C80,IF(G81&gt;=1.1,data2!B80*'Proposed Spec Lines'!$C$6+data2!C80,data2!B80*'Proposed Spec Lines'!$D$6+data2!C80))</f>
        <v>582.4356435643565</v>
      </c>
      <c r="AL81" s="445">
        <f>IF(I81&gt;=30,'Proposed Spec Lines'!$E$6,IF(G81&gt;=1.1,'Proposed Spec Lines'!$C$6,'Proposed Spec Lines'!$D$6))</f>
        <v>350</v>
      </c>
      <c r="AM81" s="446">
        <f t="shared" si="8"/>
        <v>582.4356435643565</v>
      </c>
      <c r="AN81" s="445">
        <f t="shared" si="9"/>
        <v>350</v>
      </c>
      <c r="AO81" s="446">
        <f>IF(O81="Y",'Proposed Spec Lines'!$G$6*AM81+'Proposed Spec Lines'!$G$5*Y81,AM81)</f>
        <v>582.4356435643565</v>
      </c>
      <c r="AP81" s="445">
        <f>IF(O81="Y",'Proposed Spec Lines'!$G$6*AN81+'Proposed Spec Lines'!$G$5*U81,AN81)</f>
        <v>350</v>
      </c>
      <c r="AR81" s="458"/>
    </row>
    <row r="82" spans="1:44" s="421" customFormat="1" ht="33.75">
      <c r="A82" s="416">
        <v>80</v>
      </c>
      <c r="B82" s="288">
        <v>37981</v>
      </c>
      <c r="C82" s="254" t="s">
        <v>31</v>
      </c>
      <c r="D82" s="255" t="s">
        <v>119</v>
      </c>
      <c r="E82" s="253"/>
      <c r="F82" s="253" t="s">
        <v>19</v>
      </c>
      <c r="G82" s="414">
        <f>VLOOKUP($A82,'Spec Analysis_ScreenSize'!$A$2:$E$142,5,0)</f>
        <v>0.384</v>
      </c>
      <c r="H82" s="289">
        <v>0.6729166666666666</v>
      </c>
      <c r="I82" s="390">
        <v>7</v>
      </c>
      <c r="J82" s="290">
        <v>6.0236220472440944</v>
      </c>
      <c r="K82" s="290">
        <v>3.700787401574803</v>
      </c>
      <c r="L82" s="246">
        <v>22.292144584289165</v>
      </c>
      <c r="M82" s="252" t="s">
        <v>134</v>
      </c>
      <c r="N82" s="252" t="s">
        <v>58</v>
      </c>
      <c r="O82" s="253" t="s">
        <v>123</v>
      </c>
      <c r="P82" s="253" t="s">
        <v>123</v>
      </c>
      <c r="Q82" s="253" t="s">
        <v>123</v>
      </c>
      <c r="R82" s="253" t="s">
        <v>176</v>
      </c>
      <c r="S82" s="253" t="s">
        <v>166</v>
      </c>
      <c r="T82" s="253">
        <v>198.8</v>
      </c>
      <c r="U82" s="253">
        <v>207.4</v>
      </c>
      <c r="V82" s="253">
        <v>156.2</v>
      </c>
      <c r="W82" s="253">
        <v>207.4</v>
      </c>
      <c r="X82" s="256">
        <v>8.46</v>
      </c>
      <c r="Y82" s="256">
        <v>6.49</v>
      </c>
      <c r="Z82" s="256">
        <v>8.02</v>
      </c>
      <c r="AA82" s="256">
        <v>8.56</v>
      </c>
      <c r="AB82" s="253" t="s">
        <v>163</v>
      </c>
      <c r="AC82" s="253">
        <v>0.16</v>
      </c>
      <c r="AD82" s="252" t="s">
        <v>128</v>
      </c>
      <c r="AE82" s="252">
        <v>24</v>
      </c>
      <c r="AF82" s="252" t="s">
        <v>160</v>
      </c>
      <c r="AG82" s="252">
        <v>0.13</v>
      </c>
      <c r="AH82" s="422">
        <f>data2!$C81+data2!$B81*T82</f>
        <v>8.46540362204445</v>
      </c>
      <c r="AI82" s="422">
        <f t="shared" si="6"/>
        <v>8.46</v>
      </c>
      <c r="AJ82" s="423">
        <f t="shared" si="7"/>
        <v>0.0006383182994816374</v>
      </c>
      <c r="AK82" s="422">
        <f>IF(I82&gt;=30,data2!B81*'Proposed Spec Lines'!$E$6+data2!C81,IF(G82&gt;=1.1,data2!B81*'Proposed Spec Lines'!$C$6+data2!C81,data2!B81*'Proposed Spec Lines'!$D$6+data2!C81))</f>
        <v>8.216056015751102</v>
      </c>
      <c r="AL82" s="424">
        <f>IF(I82&gt;=30,'Proposed Spec Lines'!$E$6,IF(G82&gt;=1.1,'Proposed Spec Lines'!$C$6,'Proposed Spec Lines'!$D$6))</f>
        <v>175</v>
      </c>
      <c r="AM82" s="422">
        <f t="shared" si="8"/>
        <v>8.46</v>
      </c>
      <c r="AN82" s="424">
        <f t="shared" si="9"/>
        <v>198.8</v>
      </c>
      <c r="AO82" s="446">
        <f>IF(O82="Y",'Proposed Spec Lines'!$G$6*AM82+'Proposed Spec Lines'!$G$5*Y82,AM82)</f>
        <v>8.46</v>
      </c>
      <c r="AP82" s="445">
        <f>IF(O82="Y",'Proposed Spec Lines'!$G$6*AN82+'Proposed Spec Lines'!$G$5*U82,AN82)</f>
        <v>198.8</v>
      </c>
      <c r="AR82" s="425"/>
    </row>
    <row r="83" spans="1:44" s="421" customFormat="1" ht="33.75">
      <c r="A83" s="416">
        <v>81</v>
      </c>
      <c r="B83" s="286">
        <v>39469</v>
      </c>
      <c r="C83" s="243" t="s">
        <v>31</v>
      </c>
      <c r="D83" s="258" t="s">
        <v>119</v>
      </c>
      <c r="E83" s="242" t="s">
        <v>127</v>
      </c>
      <c r="F83" s="247" t="s">
        <v>20</v>
      </c>
      <c r="G83" s="414">
        <f>VLOOKUP($A83,'Spec Analysis_ScreenSize'!$A$2:$E$142,5,0)</f>
        <v>0.48</v>
      </c>
      <c r="H83" s="257" t="s">
        <v>153</v>
      </c>
      <c r="I83" s="387">
        <v>8</v>
      </c>
      <c r="J83" s="275"/>
      <c r="K83" s="275"/>
      <c r="L83" s="246">
        <v>0</v>
      </c>
      <c r="M83" s="247" t="s">
        <v>134</v>
      </c>
      <c r="N83" s="247" t="s">
        <v>134</v>
      </c>
      <c r="O83" s="242" t="s">
        <v>123</v>
      </c>
      <c r="P83" s="242"/>
      <c r="Q83" s="242"/>
      <c r="R83" s="242" t="s">
        <v>175</v>
      </c>
      <c r="S83" s="247" t="s">
        <v>134</v>
      </c>
      <c r="T83" s="247">
        <v>175</v>
      </c>
      <c r="U83" s="247">
        <v>12</v>
      </c>
      <c r="V83" s="247">
        <v>180</v>
      </c>
      <c r="W83" s="247">
        <v>180</v>
      </c>
      <c r="X83" s="247">
        <v>7.5</v>
      </c>
      <c r="Y83" s="247">
        <v>7.5</v>
      </c>
      <c r="Z83" s="247">
        <v>7.5</v>
      </c>
      <c r="AA83" s="247">
        <v>7.5</v>
      </c>
      <c r="AB83" s="247"/>
      <c r="AC83" s="247">
        <v>0.16</v>
      </c>
      <c r="AD83" s="247" t="s">
        <v>128</v>
      </c>
      <c r="AE83" s="247">
        <v>24</v>
      </c>
      <c r="AF83" s="247">
        <v>82</v>
      </c>
      <c r="AG83" s="247">
        <v>0.21</v>
      </c>
      <c r="AH83" s="422">
        <f>data2!$C82+data2!$B82*T83</f>
        <v>7.5</v>
      </c>
      <c r="AI83" s="422">
        <f t="shared" si="6"/>
        <v>7.5</v>
      </c>
      <c r="AJ83" s="423">
        <f t="shared" si="7"/>
        <v>0</v>
      </c>
      <c r="AK83" s="422">
        <f>IF(I83&gt;=30,data2!B82*'Proposed Spec Lines'!$E$6+data2!C82,IF(G83&gt;=1.1,data2!B82*'Proposed Spec Lines'!$C$6+data2!C82,data2!B82*'Proposed Spec Lines'!$D$6+data2!C82))</f>
        <v>7.5</v>
      </c>
      <c r="AL83" s="424">
        <f>IF(I83&gt;=30,'Proposed Spec Lines'!$E$6,IF(G83&gt;=1.1,'Proposed Spec Lines'!$C$6,'Proposed Spec Lines'!$D$6))</f>
        <v>175</v>
      </c>
      <c r="AM83" s="422">
        <f t="shared" si="8"/>
        <v>7.5</v>
      </c>
      <c r="AN83" s="424">
        <f t="shared" si="9"/>
        <v>175</v>
      </c>
      <c r="AO83" s="446">
        <f>IF(O83="Y",'Proposed Spec Lines'!$G$6*AM83+'Proposed Spec Lines'!$G$5*Y83,AM83)</f>
        <v>7.5</v>
      </c>
      <c r="AP83" s="445">
        <f>IF(O83="Y",'Proposed Spec Lines'!$G$6*AN83+'Proposed Spec Lines'!$G$5*U83,AN83)</f>
        <v>175</v>
      </c>
      <c r="AR83" s="425"/>
    </row>
    <row r="84" spans="1:44" s="421" customFormat="1" ht="33.75">
      <c r="A84" s="447">
        <v>82</v>
      </c>
      <c r="B84" s="286">
        <v>39469</v>
      </c>
      <c r="C84" s="243" t="s">
        <v>31</v>
      </c>
      <c r="D84" s="258" t="s">
        <v>119</v>
      </c>
      <c r="E84" s="242" t="s">
        <v>127</v>
      </c>
      <c r="F84" s="247" t="s">
        <v>20</v>
      </c>
      <c r="G84" s="414">
        <f>VLOOKUP($A84,'Spec Analysis_ScreenSize'!$A$2:$E$142,5,0)</f>
        <v>0.48</v>
      </c>
      <c r="H84" s="257" t="s">
        <v>153</v>
      </c>
      <c r="I84" s="387">
        <v>8</v>
      </c>
      <c r="J84" s="275"/>
      <c r="K84" s="275"/>
      <c r="L84" s="246">
        <v>0</v>
      </c>
      <c r="M84" s="247" t="s">
        <v>134</v>
      </c>
      <c r="N84" s="247" t="s">
        <v>134</v>
      </c>
      <c r="O84" s="242" t="s">
        <v>123</v>
      </c>
      <c r="P84" s="242"/>
      <c r="Q84" s="242"/>
      <c r="R84" s="242" t="s">
        <v>175</v>
      </c>
      <c r="S84" s="247" t="s">
        <v>134</v>
      </c>
      <c r="T84" s="247">
        <v>175</v>
      </c>
      <c r="U84" s="247">
        <v>12</v>
      </c>
      <c r="V84" s="247">
        <v>180</v>
      </c>
      <c r="W84" s="247">
        <v>180</v>
      </c>
      <c r="X84" s="247">
        <v>8.6</v>
      </c>
      <c r="Y84" s="247">
        <v>8.6</v>
      </c>
      <c r="Z84" s="247">
        <v>8.6</v>
      </c>
      <c r="AA84" s="247">
        <v>8.6</v>
      </c>
      <c r="AB84" s="247"/>
      <c r="AC84" s="247">
        <v>0.31</v>
      </c>
      <c r="AD84" s="247" t="s">
        <v>128</v>
      </c>
      <c r="AE84" s="247">
        <v>24</v>
      </c>
      <c r="AF84" s="247">
        <v>82</v>
      </c>
      <c r="AG84" s="247">
        <v>0.21</v>
      </c>
      <c r="AH84" s="422">
        <f>data2!$C83+data2!$B83*T84</f>
        <v>8.6</v>
      </c>
      <c r="AI84" s="422">
        <f t="shared" si="6"/>
        <v>8.6</v>
      </c>
      <c r="AJ84" s="423">
        <f t="shared" si="7"/>
        <v>0</v>
      </c>
      <c r="AK84" s="422">
        <f>IF(I84&gt;=30,data2!B83*'Proposed Spec Lines'!$E$6+data2!C83,IF(G84&gt;=1.1,data2!B83*'Proposed Spec Lines'!$C$6+data2!C83,data2!B83*'Proposed Spec Lines'!$D$6+data2!C83))</f>
        <v>8.6</v>
      </c>
      <c r="AL84" s="424">
        <f>IF(I84&gt;=30,'Proposed Spec Lines'!$E$6,IF(G84&gt;=1.1,'Proposed Spec Lines'!$C$6,'Proposed Spec Lines'!$D$6))</f>
        <v>175</v>
      </c>
      <c r="AM84" s="422">
        <f t="shared" si="8"/>
        <v>8.6</v>
      </c>
      <c r="AN84" s="424">
        <f t="shared" si="9"/>
        <v>175</v>
      </c>
      <c r="AO84" s="446">
        <f>IF(O84="Y",'Proposed Spec Lines'!$G$6*AM84+'Proposed Spec Lines'!$G$5*Y84,AM84)</f>
        <v>8.6</v>
      </c>
      <c r="AP84" s="445">
        <f>IF(O84="Y",'Proposed Spec Lines'!$G$6*AN84+'Proposed Spec Lines'!$G$5*U84,AN84)</f>
        <v>175</v>
      </c>
      <c r="AR84" s="425"/>
    </row>
    <row r="85" spans="1:44" ht="11.25">
      <c r="A85" s="416">
        <v>83</v>
      </c>
      <c r="B85" s="285">
        <v>39520</v>
      </c>
      <c r="C85" s="254" t="s">
        <v>118</v>
      </c>
      <c r="D85" s="255" t="s">
        <v>119</v>
      </c>
      <c r="E85" s="253" t="s">
        <v>127</v>
      </c>
      <c r="F85" s="253" t="s">
        <v>1</v>
      </c>
      <c r="G85" s="414">
        <f>VLOOKUP($A85,'Spec Analysis_ScreenSize'!$A$2:$E$142,5,0)</f>
        <v>2.304</v>
      </c>
      <c r="H85" s="266" t="s">
        <v>153</v>
      </c>
      <c r="I85" s="390">
        <v>26</v>
      </c>
      <c r="J85" s="253"/>
      <c r="K85" s="253"/>
      <c r="L85" s="246">
        <v>0</v>
      </c>
      <c r="M85" s="252"/>
      <c r="N85" s="252"/>
      <c r="O85" s="253" t="s">
        <v>123</v>
      </c>
      <c r="P85" s="253"/>
      <c r="Q85" s="253"/>
      <c r="R85" s="253"/>
      <c r="S85" s="253" t="s">
        <v>125</v>
      </c>
      <c r="T85" s="253">
        <v>177</v>
      </c>
      <c r="U85" s="253">
        <v>21</v>
      </c>
      <c r="V85" s="253">
        <v>301</v>
      </c>
      <c r="W85" s="253">
        <v>301</v>
      </c>
      <c r="X85" s="253">
        <v>32.1</v>
      </c>
      <c r="Y85" s="253">
        <v>19.9</v>
      </c>
      <c r="Z85" s="253">
        <v>44.5</v>
      </c>
      <c r="AA85" s="253">
        <v>44.5</v>
      </c>
      <c r="AB85" s="253">
        <v>1.15</v>
      </c>
      <c r="AC85" s="253">
        <v>0.38</v>
      </c>
      <c r="AD85" s="252"/>
      <c r="AE85" s="252"/>
      <c r="AF85" s="252"/>
      <c r="AG85" s="252"/>
      <c r="AH85" s="446">
        <f>data2!$C84+data2!$B84*T85</f>
        <v>33.21424903722721</v>
      </c>
      <c r="AI85" s="446">
        <f t="shared" si="6"/>
        <v>32.1</v>
      </c>
      <c r="AJ85" s="457">
        <f t="shared" si="7"/>
        <v>0.03354731988606268</v>
      </c>
      <c r="AK85" s="446">
        <f>IF(I85&gt;=30,data2!B84*'Proposed Spec Lines'!$E$6+data2!C84,IF(G85&gt;=1.1,data2!B84*'Proposed Spec Lines'!$C$6+data2!C84,data2!B84*'Proposed Spec Lines'!$D$6+data2!C84))</f>
        <v>35.25</v>
      </c>
      <c r="AL85" s="445">
        <f>IF(I85&gt;=30,'Proposed Spec Lines'!$E$6,IF(G85&gt;=1.1,'Proposed Spec Lines'!$C$6,'Proposed Spec Lines'!$D$6))</f>
        <v>200</v>
      </c>
      <c r="AM85" s="446">
        <f t="shared" si="8"/>
        <v>35.25</v>
      </c>
      <c r="AN85" s="445">
        <f t="shared" si="9"/>
        <v>200</v>
      </c>
      <c r="AO85" s="446">
        <f>IF(O85="Y",'Proposed Spec Lines'!$G$6*AM85+'Proposed Spec Lines'!$G$5*Y85,AM85)</f>
        <v>35.25</v>
      </c>
      <c r="AP85" s="445">
        <f>IF(O85="Y",'Proposed Spec Lines'!$G$6*AN85+'Proposed Spec Lines'!$G$5*U85,AN85)</f>
        <v>200</v>
      </c>
      <c r="AR85" s="458"/>
    </row>
    <row r="86" spans="1:44" ht="11.25">
      <c r="A86" s="416">
        <v>84</v>
      </c>
      <c r="B86" s="285">
        <v>39520</v>
      </c>
      <c r="C86" s="254" t="s">
        <v>118</v>
      </c>
      <c r="D86" s="255" t="s">
        <v>119</v>
      </c>
      <c r="E86" s="253" t="s">
        <v>127</v>
      </c>
      <c r="F86" s="252" t="s">
        <v>3</v>
      </c>
      <c r="G86" s="414">
        <f>VLOOKUP($A86,'Spec Analysis_ScreenSize'!$A$2:$E$142,5,0)</f>
        <v>1.31072</v>
      </c>
      <c r="H86" s="266" t="s">
        <v>151</v>
      </c>
      <c r="I86" s="391">
        <v>17</v>
      </c>
      <c r="J86" s="252"/>
      <c r="K86" s="252"/>
      <c r="L86" s="246">
        <v>0</v>
      </c>
      <c r="M86" s="252"/>
      <c r="N86" s="252"/>
      <c r="O86" s="253" t="s">
        <v>123</v>
      </c>
      <c r="P86" s="253"/>
      <c r="Q86" s="253"/>
      <c r="R86" s="253"/>
      <c r="S86" s="253" t="s">
        <v>125</v>
      </c>
      <c r="T86" s="252">
        <v>178</v>
      </c>
      <c r="U86" s="252">
        <v>14</v>
      </c>
      <c r="V86" s="252">
        <v>254</v>
      </c>
      <c r="W86" s="252">
        <v>254</v>
      </c>
      <c r="X86" s="252">
        <v>20.3</v>
      </c>
      <c r="Y86" s="252">
        <v>14.8</v>
      </c>
      <c r="Z86" s="252">
        <v>27.6</v>
      </c>
      <c r="AA86" s="252">
        <v>27.6</v>
      </c>
      <c r="AB86" s="252">
        <v>0.72</v>
      </c>
      <c r="AC86" s="252">
        <v>0.7</v>
      </c>
      <c r="AD86" s="252"/>
      <c r="AE86" s="252"/>
      <c r="AF86" s="252"/>
      <c r="AG86" s="252"/>
      <c r="AH86" s="461">
        <f>data2!$C85+data2!$B85*T86</f>
        <v>22.734239300218682</v>
      </c>
      <c r="AI86" s="461">
        <f t="shared" si="6"/>
        <v>20.3</v>
      </c>
      <c r="AJ86" s="462">
        <f t="shared" si="7"/>
        <v>0.10707370799054036</v>
      </c>
      <c r="AK86" s="446">
        <f>IF(I86&gt;=30,data2!B85*'Proposed Spec Lines'!$E$6+data2!C85,IF(G86&gt;=1.1,data2!B85*'Proposed Spec Lines'!$C$6+data2!C85,data2!B85*'Proposed Spec Lines'!$D$6+data2!C85))</f>
        <v>23.90199416848902</v>
      </c>
      <c r="AL86" s="445">
        <f>IF(I86&gt;=30,'Proposed Spec Lines'!$E$6,IF(G86&gt;=1.1,'Proposed Spec Lines'!$C$6,'Proposed Spec Lines'!$D$6))</f>
        <v>200</v>
      </c>
      <c r="AM86" s="446">
        <f t="shared" si="8"/>
        <v>23.90199416848902</v>
      </c>
      <c r="AN86" s="445">
        <f t="shared" si="9"/>
        <v>200</v>
      </c>
      <c r="AO86" s="446">
        <f>IF(O86="Y",'Proposed Spec Lines'!$G$6*AM86+'Proposed Spec Lines'!$G$5*Y86,AM86)</f>
        <v>23.90199416848902</v>
      </c>
      <c r="AP86" s="445">
        <f>IF(O86="Y",'Proposed Spec Lines'!$G$6*AN86+'Proposed Spec Lines'!$G$5*U86,AN86)</f>
        <v>200</v>
      </c>
      <c r="AR86" s="458"/>
    </row>
    <row r="87" spans="1:44" ht="11.25">
      <c r="A87" s="447">
        <v>85</v>
      </c>
      <c r="B87" s="285">
        <v>39520</v>
      </c>
      <c r="C87" s="254" t="s">
        <v>118</v>
      </c>
      <c r="D87" s="255" t="s">
        <v>119</v>
      </c>
      <c r="E87" s="253" t="s">
        <v>127</v>
      </c>
      <c r="F87" s="253" t="s">
        <v>1</v>
      </c>
      <c r="G87" s="414">
        <f>VLOOKUP($A87,'Spec Analysis_ScreenSize'!$A$2:$E$142,5,0)</f>
        <v>2.304</v>
      </c>
      <c r="H87" s="266" t="s">
        <v>153</v>
      </c>
      <c r="I87" s="390">
        <v>26</v>
      </c>
      <c r="J87" s="253"/>
      <c r="K87" s="253"/>
      <c r="L87" s="246">
        <v>0</v>
      </c>
      <c r="M87" s="252"/>
      <c r="N87" s="252"/>
      <c r="O87" s="253" t="s">
        <v>123</v>
      </c>
      <c r="P87" s="253"/>
      <c r="Q87" s="253"/>
      <c r="R87" s="253"/>
      <c r="S87" s="253" t="s">
        <v>125</v>
      </c>
      <c r="T87" s="253">
        <v>177</v>
      </c>
      <c r="U87" s="253">
        <v>43</v>
      </c>
      <c r="V87" s="253">
        <v>468</v>
      </c>
      <c r="W87" s="253">
        <v>468</v>
      </c>
      <c r="X87" s="253">
        <v>48.8</v>
      </c>
      <c r="Y87" s="253">
        <v>37.6</v>
      </c>
      <c r="Z87" s="253">
        <v>87.8</v>
      </c>
      <c r="AA87" s="253">
        <v>87.8</v>
      </c>
      <c r="AB87" s="253">
        <v>1.08</v>
      </c>
      <c r="AC87" s="253">
        <v>0.91</v>
      </c>
      <c r="AD87" s="252"/>
      <c r="AE87" s="252"/>
      <c r="AF87" s="252"/>
      <c r="AG87" s="252"/>
      <c r="AH87" s="446">
        <f>data2!$C86+data2!$B86*T87</f>
        <v>51.84753467209169</v>
      </c>
      <c r="AI87" s="446">
        <f t="shared" si="6"/>
        <v>48.8</v>
      </c>
      <c r="AJ87" s="457">
        <f t="shared" si="7"/>
        <v>0.058778776876581354</v>
      </c>
      <c r="AK87" s="446">
        <f>IF(I87&gt;=30,data2!B86*'Proposed Spec Lines'!$E$6+data2!C86,IF(G87&gt;=1.1,data2!B86*'Proposed Spec Lines'!$C$6+data2!C86,data2!B86*'Proposed Spec Lines'!$D$6+data2!C86))</f>
        <v>54.651165944787145</v>
      </c>
      <c r="AL87" s="445">
        <f>IF(I87&gt;=30,'Proposed Spec Lines'!$E$6,IF(G87&gt;=1.1,'Proposed Spec Lines'!$C$6,'Proposed Spec Lines'!$D$6))</f>
        <v>200</v>
      </c>
      <c r="AM87" s="446">
        <f t="shared" si="8"/>
        <v>54.651165944787145</v>
      </c>
      <c r="AN87" s="445">
        <f t="shared" si="9"/>
        <v>200</v>
      </c>
      <c r="AO87" s="446">
        <f>IF(O87="Y",'Proposed Spec Lines'!$G$6*AM87+'Proposed Spec Lines'!$G$5*Y87,AM87)</f>
        <v>54.651165944787145</v>
      </c>
      <c r="AP87" s="445">
        <f>IF(O87="Y",'Proposed Spec Lines'!$G$6*AN87+'Proposed Spec Lines'!$G$5*U87,AN87)</f>
        <v>200</v>
      </c>
      <c r="AR87" s="458"/>
    </row>
    <row r="88" spans="1:44" ht="11.25">
      <c r="A88" s="416">
        <v>86</v>
      </c>
      <c r="B88" s="285">
        <v>39520</v>
      </c>
      <c r="C88" s="254" t="s">
        <v>118</v>
      </c>
      <c r="D88" s="255" t="s">
        <v>119</v>
      </c>
      <c r="E88" s="253" t="s">
        <v>127</v>
      </c>
      <c r="F88" s="253" t="s">
        <v>2</v>
      </c>
      <c r="G88" s="414">
        <f>VLOOKUP($A88,'Spec Analysis_ScreenSize'!$A$2:$E$142,5,0)</f>
        <v>1.764</v>
      </c>
      <c r="H88" s="266" t="s">
        <v>153</v>
      </c>
      <c r="I88" s="390">
        <v>22</v>
      </c>
      <c r="J88" s="253"/>
      <c r="K88" s="253"/>
      <c r="L88" s="246">
        <v>0</v>
      </c>
      <c r="M88" s="252"/>
      <c r="N88" s="252"/>
      <c r="O88" s="253" t="s">
        <v>123</v>
      </c>
      <c r="P88" s="253"/>
      <c r="Q88" s="253"/>
      <c r="R88" s="253"/>
      <c r="S88" s="253" t="s">
        <v>125</v>
      </c>
      <c r="T88" s="253">
        <v>178</v>
      </c>
      <c r="U88" s="253">
        <v>62</v>
      </c>
      <c r="V88" s="253">
        <v>270</v>
      </c>
      <c r="W88" s="253">
        <v>270</v>
      </c>
      <c r="X88" s="253">
        <v>34.2</v>
      </c>
      <c r="Y88" s="253">
        <v>26.4</v>
      </c>
      <c r="Z88" s="253">
        <v>42.4</v>
      </c>
      <c r="AA88" s="253">
        <v>42.4</v>
      </c>
      <c r="AB88" s="253">
        <v>0.91</v>
      </c>
      <c r="AC88" s="253">
        <v>0.83</v>
      </c>
      <c r="AD88" s="252"/>
      <c r="AE88" s="252"/>
      <c r="AF88" s="252"/>
      <c r="AG88" s="252"/>
      <c r="AH88" s="446">
        <f>data2!$C87+data2!$B87*T88</f>
        <v>35.03120295606952</v>
      </c>
      <c r="AI88" s="446">
        <f t="shared" si="6"/>
        <v>34.2</v>
      </c>
      <c r="AJ88" s="457">
        <f t="shared" si="7"/>
        <v>0.02372750251003023</v>
      </c>
      <c r="AK88" s="446">
        <f>IF(I88&gt;=30,data2!B87*'Proposed Spec Lines'!$E$6+data2!C87,IF(G88&gt;=1.1,data2!B87*'Proposed Spec Lines'!$C$6+data2!C87,data2!B87*'Proposed Spec Lines'!$D$6+data2!C87))</f>
        <v>36.737881483508964</v>
      </c>
      <c r="AL88" s="445">
        <f>IF(I88&gt;=30,'Proposed Spec Lines'!$E$6,IF(G88&gt;=1.1,'Proposed Spec Lines'!$C$6,'Proposed Spec Lines'!$D$6))</f>
        <v>200</v>
      </c>
      <c r="AM88" s="446">
        <f t="shared" si="8"/>
        <v>36.737881483508964</v>
      </c>
      <c r="AN88" s="445">
        <f t="shared" si="9"/>
        <v>200</v>
      </c>
      <c r="AO88" s="446">
        <f>IF(O88="Y",'Proposed Spec Lines'!$G$6*AM88+'Proposed Spec Lines'!$G$5*Y88,AM88)</f>
        <v>36.737881483508964</v>
      </c>
      <c r="AP88" s="445">
        <f>IF(O88="Y",'Proposed Spec Lines'!$G$6*AN88+'Proposed Spec Lines'!$G$5*U88,AN88)</f>
        <v>200</v>
      </c>
      <c r="AR88" s="458"/>
    </row>
    <row r="89" spans="1:44" ht="11.25">
      <c r="A89" s="416">
        <v>87</v>
      </c>
      <c r="B89" s="285">
        <v>39520</v>
      </c>
      <c r="C89" s="254" t="s">
        <v>118</v>
      </c>
      <c r="D89" s="255" t="s">
        <v>119</v>
      </c>
      <c r="E89" s="253" t="s">
        <v>127</v>
      </c>
      <c r="F89" s="253" t="s">
        <v>2</v>
      </c>
      <c r="G89" s="414">
        <f>VLOOKUP($A89,'Spec Analysis_ScreenSize'!$A$2:$E$142,5,0)</f>
        <v>1.764</v>
      </c>
      <c r="H89" s="266" t="s">
        <v>153</v>
      </c>
      <c r="I89" s="390">
        <v>22</v>
      </c>
      <c r="J89" s="253"/>
      <c r="K89" s="253"/>
      <c r="L89" s="246">
        <v>0</v>
      </c>
      <c r="M89" s="252"/>
      <c r="N89" s="252"/>
      <c r="O89" s="253" t="s">
        <v>123</v>
      </c>
      <c r="P89" s="253"/>
      <c r="Q89" s="253"/>
      <c r="R89" s="253"/>
      <c r="S89" s="253" t="s">
        <v>125</v>
      </c>
      <c r="T89" s="253">
        <v>178</v>
      </c>
      <c r="U89" s="253">
        <v>15</v>
      </c>
      <c r="V89" s="253">
        <v>335</v>
      </c>
      <c r="W89" s="253">
        <v>335</v>
      </c>
      <c r="X89" s="253">
        <v>25.7</v>
      </c>
      <c r="Y89" s="253">
        <v>17.4</v>
      </c>
      <c r="Z89" s="253">
        <v>38.3</v>
      </c>
      <c r="AA89" s="253">
        <v>38.3</v>
      </c>
      <c r="AB89" s="253">
        <v>0.68</v>
      </c>
      <c r="AC89" s="253">
        <v>0.51</v>
      </c>
      <c r="AD89" s="252"/>
      <c r="AE89" s="252"/>
      <c r="AF89" s="252"/>
      <c r="AG89" s="252"/>
      <c r="AH89" s="446">
        <f>data2!$C88+data2!$B88*T89</f>
        <v>27.411807943220968</v>
      </c>
      <c r="AI89" s="446">
        <f t="shared" si="6"/>
        <v>25.7</v>
      </c>
      <c r="AJ89" s="457">
        <f t="shared" si="7"/>
        <v>0.06244783075843431</v>
      </c>
      <c r="AK89" s="446">
        <f>IF(I89&gt;=30,data2!B88*'Proposed Spec Lines'!$E$6+data2!C88,IF(G89&gt;=1.1,data2!B88*'Proposed Spec Lines'!$C$6+data2!C88,data2!B88*'Proposed Spec Lines'!$D$6+data2!C88))</f>
        <v>28.87644967167497</v>
      </c>
      <c r="AL89" s="445">
        <f>IF(I89&gt;=30,'Proposed Spec Lines'!$E$6,IF(G89&gt;=1.1,'Proposed Spec Lines'!$C$6,'Proposed Spec Lines'!$D$6))</f>
        <v>200</v>
      </c>
      <c r="AM89" s="446">
        <f t="shared" si="8"/>
        <v>28.87644967167497</v>
      </c>
      <c r="AN89" s="445">
        <f t="shared" si="9"/>
        <v>200</v>
      </c>
      <c r="AO89" s="446">
        <f>IF(O89="Y",'Proposed Spec Lines'!$G$6*AM89+'Proposed Spec Lines'!$G$5*Y89,AM89)</f>
        <v>28.87644967167497</v>
      </c>
      <c r="AP89" s="445">
        <f>IF(O89="Y",'Proposed Spec Lines'!$G$6*AN89+'Proposed Spec Lines'!$G$5*U89,AN89)</f>
        <v>200</v>
      </c>
      <c r="AR89" s="458"/>
    </row>
    <row r="90" spans="1:44" ht="11.25">
      <c r="A90" s="447">
        <v>88</v>
      </c>
      <c r="B90" s="285">
        <v>39520</v>
      </c>
      <c r="C90" s="254" t="s">
        <v>118</v>
      </c>
      <c r="D90" s="255" t="s">
        <v>119</v>
      </c>
      <c r="E90" s="253" t="s">
        <v>127</v>
      </c>
      <c r="F90" s="253" t="s">
        <v>2</v>
      </c>
      <c r="G90" s="414">
        <f>VLOOKUP($A90,'Spec Analysis_ScreenSize'!$A$2:$E$142,5,0)</f>
        <v>1.764</v>
      </c>
      <c r="H90" s="266" t="s">
        <v>153</v>
      </c>
      <c r="I90" s="391">
        <v>22</v>
      </c>
      <c r="J90" s="252"/>
      <c r="K90" s="252"/>
      <c r="L90" s="246">
        <v>0</v>
      </c>
      <c r="M90" s="252"/>
      <c r="N90" s="252"/>
      <c r="O90" s="253" t="s">
        <v>123</v>
      </c>
      <c r="P90" s="253"/>
      <c r="Q90" s="253"/>
      <c r="R90" s="253"/>
      <c r="S90" s="253" t="s">
        <v>125</v>
      </c>
      <c r="T90" s="252">
        <v>176</v>
      </c>
      <c r="U90" s="252">
        <v>6</v>
      </c>
      <c r="V90" s="252">
        <v>291</v>
      </c>
      <c r="W90" s="252">
        <v>291</v>
      </c>
      <c r="X90" s="252">
        <v>29.6</v>
      </c>
      <c r="Y90" s="253">
        <v>18.5</v>
      </c>
      <c r="Z90" s="253">
        <v>39.1</v>
      </c>
      <c r="AA90" s="253">
        <v>39.1</v>
      </c>
      <c r="AB90" s="253">
        <v>0.78</v>
      </c>
      <c r="AC90" s="253">
        <v>0.74</v>
      </c>
      <c r="AD90" s="252"/>
      <c r="AE90" s="252"/>
      <c r="AF90" s="252"/>
      <c r="AG90" s="252"/>
      <c r="AH90" s="446">
        <f>data2!$C89+data2!$B89*T90</f>
        <v>30.48588154269973</v>
      </c>
      <c r="AI90" s="446">
        <f t="shared" si="6"/>
        <v>29.6</v>
      </c>
      <c r="AJ90" s="457">
        <f t="shared" si="7"/>
        <v>0.029058747783262475</v>
      </c>
      <c r="AK90" s="446">
        <f>IF(I90&gt;=30,data2!B89*'Proposed Spec Lines'!$E$6+data2!C89,IF(G90&gt;=1.1,data2!B89*'Proposed Spec Lines'!$C$6+data2!C89,data2!B89*'Proposed Spec Lines'!$D$6+data2!C89))</f>
        <v>32.22847107438017</v>
      </c>
      <c r="AL90" s="445">
        <f>IF(I90&gt;=30,'Proposed Spec Lines'!$E$6,IF(G90&gt;=1.1,'Proposed Spec Lines'!$C$6,'Proposed Spec Lines'!$D$6))</f>
        <v>200</v>
      </c>
      <c r="AM90" s="446">
        <f t="shared" si="8"/>
        <v>32.22847107438017</v>
      </c>
      <c r="AN90" s="445">
        <f t="shared" si="9"/>
        <v>200</v>
      </c>
      <c r="AO90" s="446">
        <f>IF(O90="Y",'Proposed Spec Lines'!$G$6*AM90+'Proposed Spec Lines'!$G$5*Y90,AM90)</f>
        <v>32.22847107438017</v>
      </c>
      <c r="AP90" s="445">
        <f>IF(O90="Y",'Proposed Spec Lines'!$G$6*AN90+'Proposed Spec Lines'!$G$5*U90,AN90)</f>
        <v>200</v>
      </c>
      <c r="AR90" s="458"/>
    </row>
    <row r="91" spans="1:44" ht="11.25">
      <c r="A91" s="416">
        <v>89</v>
      </c>
      <c r="B91" s="285">
        <v>39520</v>
      </c>
      <c r="C91" s="254" t="s">
        <v>118</v>
      </c>
      <c r="D91" s="255" t="s">
        <v>119</v>
      </c>
      <c r="E91" s="253" t="s">
        <v>127</v>
      </c>
      <c r="F91" s="253" t="s">
        <v>2</v>
      </c>
      <c r="G91" s="414">
        <f>VLOOKUP($A91,'Spec Analysis_ScreenSize'!$A$2:$E$142,5,0)</f>
        <v>1.764</v>
      </c>
      <c r="H91" s="266" t="s">
        <v>153</v>
      </c>
      <c r="I91" s="391">
        <v>20</v>
      </c>
      <c r="J91" s="252"/>
      <c r="K91" s="252"/>
      <c r="L91" s="246">
        <v>0</v>
      </c>
      <c r="M91" s="252"/>
      <c r="N91" s="252"/>
      <c r="O91" s="253" t="s">
        <v>123</v>
      </c>
      <c r="P91" s="253"/>
      <c r="Q91" s="253"/>
      <c r="R91" s="253"/>
      <c r="S91" s="253" t="s">
        <v>125</v>
      </c>
      <c r="T91" s="252">
        <v>178</v>
      </c>
      <c r="U91" s="252">
        <v>9</v>
      </c>
      <c r="V91" s="252">
        <v>307</v>
      </c>
      <c r="W91" s="252">
        <v>307</v>
      </c>
      <c r="X91" s="252">
        <v>29.5</v>
      </c>
      <c r="Y91" s="253">
        <v>22.7</v>
      </c>
      <c r="Z91" s="253">
        <v>39.4</v>
      </c>
      <c r="AA91" s="253">
        <v>39.4</v>
      </c>
      <c r="AB91" s="253">
        <v>0.73</v>
      </c>
      <c r="AC91" s="253">
        <v>0.68</v>
      </c>
      <c r="AD91" s="252"/>
      <c r="AE91" s="252"/>
      <c r="AF91" s="252"/>
      <c r="AG91" s="252"/>
      <c r="AH91" s="446">
        <f>data2!$C90+data2!$B90*T91</f>
        <v>31.48101657541627</v>
      </c>
      <c r="AI91" s="446">
        <f t="shared" si="6"/>
        <v>29.5</v>
      </c>
      <c r="AJ91" s="457">
        <f t="shared" si="7"/>
        <v>0.06292733815220117</v>
      </c>
      <c r="AK91" s="446">
        <f>IF(I91&gt;=30,data2!B90*'Proposed Spec Lines'!$E$6+data2!C90,IF(G91&gt;=1.1,data2!B90*'Proposed Spec Lines'!$C$6+data2!C90,data2!B90*'Proposed Spec Lines'!$D$6+data2!C90))</f>
        <v>32.73574175927434</v>
      </c>
      <c r="AL91" s="445">
        <f>IF(I91&gt;=30,'Proposed Spec Lines'!$E$6,IF(G91&gt;=1.1,'Proposed Spec Lines'!$C$6,'Proposed Spec Lines'!$D$6))</f>
        <v>200</v>
      </c>
      <c r="AM91" s="446">
        <f t="shared" si="8"/>
        <v>32.73574175927434</v>
      </c>
      <c r="AN91" s="445">
        <f t="shared" si="9"/>
        <v>200</v>
      </c>
      <c r="AO91" s="446">
        <f>IF(O91="Y",'Proposed Spec Lines'!$G$6*AM91+'Proposed Spec Lines'!$G$5*Y91,AM91)</f>
        <v>32.73574175927434</v>
      </c>
      <c r="AP91" s="445">
        <f>IF(O91="Y",'Proposed Spec Lines'!$G$6*AN91+'Proposed Spec Lines'!$G$5*U91,AN91)</f>
        <v>200</v>
      </c>
      <c r="AR91" s="458"/>
    </row>
    <row r="92" spans="1:44" ht="11.25">
      <c r="A92" s="416">
        <v>90</v>
      </c>
      <c r="B92" s="285">
        <v>39520</v>
      </c>
      <c r="C92" s="254" t="s">
        <v>118</v>
      </c>
      <c r="D92" s="255" t="s">
        <v>119</v>
      </c>
      <c r="E92" s="253" t="s">
        <v>127</v>
      </c>
      <c r="F92" s="252" t="s">
        <v>2</v>
      </c>
      <c r="G92" s="414">
        <f>VLOOKUP($A92,'Spec Analysis_ScreenSize'!$A$2:$E$142,5,0)</f>
        <v>1.764</v>
      </c>
      <c r="H92" s="266" t="s">
        <v>153</v>
      </c>
      <c r="I92" s="391">
        <v>20</v>
      </c>
      <c r="J92" s="252"/>
      <c r="K92" s="252"/>
      <c r="L92" s="246">
        <v>0</v>
      </c>
      <c r="M92" s="252"/>
      <c r="N92" s="252"/>
      <c r="O92" s="253" t="s">
        <v>123</v>
      </c>
      <c r="P92" s="253"/>
      <c r="Q92" s="253"/>
      <c r="R92" s="253"/>
      <c r="S92" s="253" t="s">
        <v>125</v>
      </c>
      <c r="T92" s="252">
        <v>177</v>
      </c>
      <c r="U92" s="252">
        <v>26</v>
      </c>
      <c r="V92" s="252">
        <v>248</v>
      </c>
      <c r="W92" s="252">
        <v>248</v>
      </c>
      <c r="X92" s="252">
        <v>31.2</v>
      </c>
      <c r="Y92" s="252">
        <v>18.8</v>
      </c>
      <c r="Z92" s="252">
        <v>38.8</v>
      </c>
      <c r="AA92" s="252">
        <v>38.8</v>
      </c>
      <c r="AB92" s="252">
        <v>0.91</v>
      </c>
      <c r="AC92" s="252">
        <v>0.85</v>
      </c>
      <c r="AD92" s="252"/>
      <c r="AE92" s="252"/>
      <c r="AF92" s="252"/>
      <c r="AG92" s="252"/>
      <c r="AH92" s="446">
        <f>data2!$C91+data2!$B91*T92</f>
        <v>32.10251728781066</v>
      </c>
      <c r="AI92" s="446">
        <f t="shared" si="6"/>
        <v>31.2</v>
      </c>
      <c r="AJ92" s="457">
        <f t="shared" si="7"/>
        <v>0.028113598685089718</v>
      </c>
      <c r="AK92" s="446">
        <f>IF(I92&gt;=30,data2!B91*'Proposed Spec Lines'!$E$6+data2!C91,IF(G92&gt;=1.1,data2!B91*'Proposed Spec Lines'!$C$6+data2!C91,data2!B91*'Proposed Spec Lines'!$D$6+data2!C91))</f>
        <v>34.172694007653035</v>
      </c>
      <c r="AL92" s="445">
        <f>IF(I92&gt;=30,'Proposed Spec Lines'!$E$6,IF(G92&gt;=1.1,'Proposed Spec Lines'!$C$6,'Proposed Spec Lines'!$D$6))</f>
        <v>200</v>
      </c>
      <c r="AM92" s="446">
        <f t="shared" si="8"/>
        <v>34.172694007653035</v>
      </c>
      <c r="AN92" s="445">
        <f t="shared" si="9"/>
        <v>200</v>
      </c>
      <c r="AO92" s="446">
        <f>IF(O92="Y",'Proposed Spec Lines'!$G$6*AM92+'Proposed Spec Lines'!$G$5*Y92,AM92)</f>
        <v>34.172694007653035</v>
      </c>
      <c r="AP92" s="445">
        <f>IF(O92="Y",'Proposed Spec Lines'!$G$6*AN92+'Proposed Spec Lines'!$G$5*U92,AN92)</f>
        <v>200</v>
      </c>
      <c r="AR92" s="458"/>
    </row>
    <row r="93" spans="1:44" ht="11.25">
      <c r="A93" s="447">
        <v>91</v>
      </c>
      <c r="B93" s="285">
        <v>39520</v>
      </c>
      <c r="C93" s="254" t="s">
        <v>118</v>
      </c>
      <c r="D93" s="255" t="s">
        <v>119</v>
      </c>
      <c r="E93" s="253" t="s">
        <v>127</v>
      </c>
      <c r="F93" s="252" t="s">
        <v>4</v>
      </c>
      <c r="G93" s="414">
        <f>VLOOKUP($A93,'Spec Analysis_ScreenSize'!$A$2:$E$142,5,0)</f>
        <v>1.296</v>
      </c>
      <c r="H93" s="266" t="s">
        <v>153</v>
      </c>
      <c r="I93" s="391">
        <v>19</v>
      </c>
      <c r="J93" s="252"/>
      <c r="K93" s="252"/>
      <c r="L93" s="246">
        <v>0</v>
      </c>
      <c r="M93" s="252"/>
      <c r="N93" s="252"/>
      <c r="O93" s="253" t="s">
        <v>123</v>
      </c>
      <c r="P93" s="253"/>
      <c r="Q93" s="253"/>
      <c r="R93" s="253"/>
      <c r="S93" s="253" t="s">
        <v>125</v>
      </c>
      <c r="T93" s="252">
        <v>177</v>
      </c>
      <c r="U93" s="252">
        <v>13</v>
      </c>
      <c r="V93" s="252">
        <v>342</v>
      </c>
      <c r="W93" s="252">
        <v>342</v>
      </c>
      <c r="X93" s="252">
        <v>22.7</v>
      </c>
      <c r="Y93" s="252">
        <v>13.7</v>
      </c>
      <c r="Z93" s="252">
        <v>32.4</v>
      </c>
      <c r="AA93" s="252">
        <v>32.4</v>
      </c>
      <c r="AB93" s="252">
        <v>0.75</v>
      </c>
      <c r="AC93" s="252">
        <v>0.71</v>
      </c>
      <c r="AD93" s="252"/>
      <c r="AE93" s="252"/>
      <c r="AF93" s="252"/>
      <c r="AG93" s="252"/>
      <c r="AH93" s="446">
        <f>data2!$C92+data2!$B92*T93</f>
        <v>22.93374699490981</v>
      </c>
      <c r="AI93" s="446">
        <f t="shared" si="6"/>
        <v>22.7</v>
      </c>
      <c r="AJ93" s="457">
        <f t="shared" si="7"/>
        <v>0.01019227232958016</v>
      </c>
      <c r="AK93" s="446">
        <f>IF(I93&gt;=30,data2!B92*'Proposed Spec Lines'!$E$6+data2!C92,IF(G93&gt;=1.1,data2!B92*'Proposed Spec Lines'!$C$6+data2!C92,data2!B92*'Proposed Spec Lines'!$D$6+data2!C92))</f>
        <v>24.245164323032082</v>
      </c>
      <c r="AL93" s="445">
        <f>IF(I93&gt;=30,'Proposed Spec Lines'!$E$6,IF(G93&gt;=1.1,'Proposed Spec Lines'!$C$6,'Proposed Spec Lines'!$D$6))</f>
        <v>200</v>
      </c>
      <c r="AM93" s="446">
        <f t="shared" si="8"/>
        <v>24.245164323032082</v>
      </c>
      <c r="AN93" s="445">
        <f t="shared" si="9"/>
        <v>200</v>
      </c>
      <c r="AO93" s="446">
        <f>IF(O93="Y",'Proposed Spec Lines'!$G$6*AM93+'Proposed Spec Lines'!$G$5*Y93,AM93)</f>
        <v>24.245164323032082</v>
      </c>
      <c r="AP93" s="445">
        <f>IF(O93="Y",'Proposed Spec Lines'!$G$6*AN93+'Proposed Spec Lines'!$G$5*U93,AN93)</f>
        <v>200</v>
      </c>
      <c r="AR93" s="458"/>
    </row>
    <row r="94" spans="1:44" ht="11.25">
      <c r="A94" s="416">
        <v>92</v>
      </c>
      <c r="B94" s="285">
        <v>39520</v>
      </c>
      <c r="C94" s="254" t="s">
        <v>118</v>
      </c>
      <c r="D94" s="255" t="s">
        <v>119</v>
      </c>
      <c r="E94" s="253" t="s">
        <v>127</v>
      </c>
      <c r="F94" s="252" t="s">
        <v>3</v>
      </c>
      <c r="G94" s="414">
        <f>VLOOKUP($A94,'Spec Analysis_ScreenSize'!$A$2:$E$142,5,0)</f>
        <v>1.31072</v>
      </c>
      <c r="H94" s="266" t="s">
        <v>151</v>
      </c>
      <c r="I94" s="391">
        <v>19</v>
      </c>
      <c r="J94" s="252"/>
      <c r="K94" s="252"/>
      <c r="L94" s="246">
        <v>0</v>
      </c>
      <c r="M94" s="252"/>
      <c r="N94" s="252"/>
      <c r="O94" s="253" t="s">
        <v>123</v>
      </c>
      <c r="P94" s="253"/>
      <c r="Q94" s="253"/>
      <c r="R94" s="253"/>
      <c r="S94" s="253" t="s">
        <v>125</v>
      </c>
      <c r="T94" s="252">
        <v>176</v>
      </c>
      <c r="U94" s="252">
        <v>13</v>
      </c>
      <c r="V94" s="252">
        <v>273</v>
      </c>
      <c r="W94" s="252">
        <v>273</v>
      </c>
      <c r="X94" s="252">
        <v>24.2</v>
      </c>
      <c r="Y94" s="252">
        <v>17.2</v>
      </c>
      <c r="Z94" s="252">
        <v>32.6</v>
      </c>
      <c r="AA94" s="252">
        <v>32.6</v>
      </c>
      <c r="AB94" s="252">
        <v>0.76</v>
      </c>
      <c r="AC94" s="252">
        <v>0.76</v>
      </c>
      <c r="AD94" s="252"/>
      <c r="AE94" s="252"/>
      <c r="AF94" s="252"/>
      <c r="AG94" s="252"/>
      <c r="AH94" s="446">
        <f>data2!$C93+data2!$B93*T94</f>
        <v>26.187429881442185</v>
      </c>
      <c r="AI94" s="446">
        <f t="shared" si="6"/>
        <v>24.2</v>
      </c>
      <c r="AJ94" s="457">
        <f t="shared" si="7"/>
        <v>0.07589251371516167</v>
      </c>
      <c r="AK94" s="446">
        <f>IF(I94&gt;=30,data2!B93*'Proposed Spec Lines'!$E$6+data2!C93,IF(G94&gt;=1.1,data2!B93*'Proposed Spec Lines'!$C$6+data2!C93,data2!B93*'Proposed Spec Lines'!$D$6+data2!C93))</f>
        <v>27.61990508729864</v>
      </c>
      <c r="AL94" s="445">
        <f>IF(I94&gt;=30,'Proposed Spec Lines'!$E$6,IF(G94&gt;=1.1,'Proposed Spec Lines'!$C$6,'Proposed Spec Lines'!$D$6))</f>
        <v>200</v>
      </c>
      <c r="AM94" s="446">
        <f t="shared" si="8"/>
        <v>27.61990508729864</v>
      </c>
      <c r="AN94" s="445">
        <f t="shared" si="9"/>
        <v>200</v>
      </c>
      <c r="AO94" s="446">
        <f>IF(O94="Y",'Proposed Spec Lines'!$G$6*AM94+'Proposed Spec Lines'!$G$5*Y94,AM94)</f>
        <v>27.61990508729864</v>
      </c>
      <c r="AP94" s="445">
        <f>IF(O94="Y",'Proposed Spec Lines'!$G$6*AN94+'Proposed Spec Lines'!$G$5*U94,AN94)</f>
        <v>200</v>
      </c>
      <c r="AR94" s="458"/>
    </row>
    <row r="95" spans="1:44" ht="56.25">
      <c r="A95" s="416">
        <v>93</v>
      </c>
      <c r="B95" s="286">
        <v>39458</v>
      </c>
      <c r="C95" s="243" t="s">
        <v>118</v>
      </c>
      <c r="D95" s="258" t="s">
        <v>119</v>
      </c>
      <c r="E95" s="242" t="s">
        <v>120</v>
      </c>
      <c r="F95" s="242" t="s">
        <v>17</v>
      </c>
      <c r="G95" s="414">
        <f>VLOOKUP($A95,'Spec Analysis_ScreenSize'!$A$2:$E$142,5,0)</f>
        <v>2.0736</v>
      </c>
      <c r="H95" s="257" t="s">
        <v>153</v>
      </c>
      <c r="I95" s="388">
        <v>47.6</v>
      </c>
      <c r="J95" s="246">
        <v>41.5</v>
      </c>
      <c r="K95" s="246">
        <v>23.3</v>
      </c>
      <c r="L95" s="246">
        <v>966.95</v>
      </c>
      <c r="M95" s="247" t="s">
        <v>142</v>
      </c>
      <c r="N95" s="247" t="s">
        <v>177</v>
      </c>
      <c r="O95" s="242" t="s">
        <v>123</v>
      </c>
      <c r="P95" s="242" t="s">
        <v>123</v>
      </c>
      <c r="Q95" s="242" t="s">
        <v>123</v>
      </c>
      <c r="R95" s="242" t="s">
        <v>173</v>
      </c>
      <c r="S95" s="242" t="s">
        <v>125</v>
      </c>
      <c r="T95" s="242">
        <v>175</v>
      </c>
      <c r="U95" s="242">
        <v>119</v>
      </c>
      <c r="V95" s="242">
        <v>430</v>
      </c>
      <c r="W95" s="242">
        <v>430</v>
      </c>
      <c r="X95" s="247">
        <v>134.7</v>
      </c>
      <c r="Y95" s="242">
        <v>100.9</v>
      </c>
      <c r="Z95" s="242">
        <v>253.7</v>
      </c>
      <c r="AA95" s="242">
        <v>253.7</v>
      </c>
      <c r="AB95" s="242">
        <v>3.8</v>
      </c>
      <c r="AC95" s="242">
        <v>2.6</v>
      </c>
      <c r="AD95" s="247"/>
      <c r="AE95" s="247"/>
      <c r="AF95" s="247"/>
      <c r="AG95" s="247"/>
      <c r="AH95" s="446">
        <f>data2!$C94+data2!$B94*T95</f>
        <v>130.97707973596874</v>
      </c>
      <c r="AI95" s="446">
        <f t="shared" si="6"/>
        <v>134.7</v>
      </c>
      <c r="AJ95" s="457">
        <f t="shared" si="7"/>
        <v>-0.028424211866199228</v>
      </c>
      <c r="AK95" s="446">
        <f>IF(I95&gt;=30,data2!B94*'Proposed Spec Lines'!$E$6+data2!C94,IF(G95&gt;=1.1,data2!B94*'Proposed Spec Lines'!$C$6+data2!C94,data2!B94*'Proposed Spec Lines'!$D$6+data2!C94))</f>
        <v>215.42871890958523</v>
      </c>
      <c r="AL95" s="445">
        <f>IF(I95&gt;=30,'Proposed Spec Lines'!$E$6,IF(G95&gt;=1.1,'Proposed Spec Lines'!$C$6,'Proposed Spec Lines'!$D$6))</f>
        <v>350</v>
      </c>
      <c r="AM95" s="446">
        <f t="shared" si="8"/>
        <v>215.42871890958523</v>
      </c>
      <c r="AN95" s="445">
        <f t="shared" si="9"/>
        <v>350</v>
      </c>
      <c r="AO95" s="446">
        <f>IF(O95="Y",'Proposed Spec Lines'!$G$6*AM95+'Proposed Spec Lines'!$G$5*Y95,AM95)</f>
        <v>215.42871890958523</v>
      </c>
      <c r="AP95" s="445">
        <f>IF(O95="Y",'Proposed Spec Lines'!$G$6*AN95+'Proposed Spec Lines'!$G$5*U95,AN95)</f>
        <v>350</v>
      </c>
      <c r="AR95" s="458"/>
    </row>
    <row r="96" spans="1:44" ht="56.25">
      <c r="A96" s="447">
        <v>94</v>
      </c>
      <c r="B96" s="286">
        <v>39458</v>
      </c>
      <c r="C96" s="243" t="s">
        <v>118</v>
      </c>
      <c r="D96" s="258" t="s">
        <v>119</v>
      </c>
      <c r="E96" s="242" t="s">
        <v>120</v>
      </c>
      <c r="F96" s="242" t="s">
        <v>17</v>
      </c>
      <c r="G96" s="414">
        <f>VLOOKUP($A96,'Spec Analysis_ScreenSize'!$A$2:$E$142,5,0)</f>
        <v>2.0736</v>
      </c>
      <c r="H96" s="257" t="s">
        <v>153</v>
      </c>
      <c r="I96" s="388">
        <v>47.6</v>
      </c>
      <c r="J96" s="246">
        <v>41.5</v>
      </c>
      <c r="K96" s="246">
        <v>23.3</v>
      </c>
      <c r="L96" s="246">
        <v>966.95</v>
      </c>
      <c r="M96" s="247" t="s">
        <v>142</v>
      </c>
      <c r="N96" s="247" t="s">
        <v>177</v>
      </c>
      <c r="O96" s="242" t="s">
        <v>123</v>
      </c>
      <c r="P96" s="242" t="s">
        <v>123</v>
      </c>
      <c r="Q96" s="242" t="s">
        <v>123</v>
      </c>
      <c r="R96" s="242" t="s">
        <v>173</v>
      </c>
      <c r="S96" s="242" t="s">
        <v>125</v>
      </c>
      <c r="T96" s="242">
        <v>175</v>
      </c>
      <c r="U96" s="242">
        <v>119</v>
      </c>
      <c r="V96" s="242">
        <v>430</v>
      </c>
      <c r="W96" s="242">
        <v>430</v>
      </c>
      <c r="X96" s="247">
        <v>131</v>
      </c>
      <c r="Y96" s="242">
        <v>97.4</v>
      </c>
      <c r="Z96" s="242">
        <v>248</v>
      </c>
      <c r="AA96" s="242">
        <v>248</v>
      </c>
      <c r="AB96" s="242">
        <v>4.1</v>
      </c>
      <c r="AC96" s="242">
        <v>2.8</v>
      </c>
      <c r="AD96" s="247"/>
      <c r="AE96" s="247"/>
      <c r="AF96" s="247"/>
      <c r="AG96" s="247"/>
      <c r="AH96" s="446">
        <f>data2!$C95+data2!$B95*T96</f>
        <v>127.16091700650279</v>
      </c>
      <c r="AI96" s="446">
        <f t="shared" si="6"/>
        <v>131</v>
      </c>
      <c r="AJ96" s="457">
        <f t="shared" si="7"/>
        <v>-0.030190746369821244</v>
      </c>
      <c r="AK96" s="446">
        <f>IF(I96&gt;=30,data2!B95*'Proposed Spec Lines'!$E$6+data2!C95,IF(G96&gt;=1.1,data2!B95*'Proposed Spec Lines'!$C$6+data2!C95,data2!B95*'Proposed Spec Lines'!$D$6+data2!C95))</f>
        <v>210.32690400088174</v>
      </c>
      <c r="AL96" s="445">
        <f>IF(I96&gt;=30,'Proposed Spec Lines'!$E$6,IF(G96&gt;=1.1,'Proposed Spec Lines'!$C$6,'Proposed Spec Lines'!$D$6))</f>
        <v>350</v>
      </c>
      <c r="AM96" s="446">
        <f t="shared" si="8"/>
        <v>210.32690400088174</v>
      </c>
      <c r="AN96" s="445">
        <f t="shared" si="9"/>
        <v>350</v>
      </c>
      <c r="AO96" s="446">
        <f>IF(O96="Y",'Proposed Spec Lines'!$G$6*AM96+'Proposed Spec Lines'!$G$5*Y96,AM96)</f>
        <v>210.32690400088174</v>
      </c>
      <c r="AP96" s="445">
        <f>IF(O96="Y",'Proposed Spec Lines'!$G$6*AN96+'Proposed Spec Lines'!$G$5*U96,AN96)</f>
        <v>350</v>
      </c>
      <c r="AR96" s="458"/>
    </row>
    <row r="97" spans="1:44" ht="56.25">
      <c r="A97" s="416">
        <v>95</v>
      </c>
      <c r="B97" s="286">
        <v>39458</v>
      </c>
      <c r="C97" s="243" t="s">
        <v>118</v>
      </c>
      <c r="D97" s="258" t="s">
        <v>119</v>
      </c>
      <c r="E97" s="242" t="s">
        <v>120</v>
      </c>
      <c r="F97" s="242" t="s">
        <v>17</v>
      </c>
      <c r="G97" s="414">
        <f>VLOOKUP($A97,'Spec Analysis_ScreenSize'!$A$2:$E$142,5,0)</f>
        <v>2.0736</v>
      </c>
      <c r="H97" s="257" t="s">
        <v>153</v>
      </c>
      <c r="I97" s="388">
        <v>47.6</v>
      </c>
      <c r="J97" s="246">
        <v>41.5</v>
      </c>
      <c r="K97" s="246">
        <v>23.3</v>
      </c>
      <c r="L97" s="246">
        <v>966.95</v>
      </c>
      <c r="M97" s="247" t="s">
        <v>142</v>
      </c>
      <c r="N97" s="247" t="s">
        <v>177</v>
      </c>
      <c r="O97" s="242" t="s">
        <v>123</v>
      </c>
      <c r="P97" s="242" t="s">
        <v>123</v>
      </c>
      <c r="Q97" s="242" t="s">
        <v>123</v>
      </c>
      <c r="R97" s="242" t="s">
        <v>173</v>
      </c>
      <c r="S97" s="242" t="s">
        <v>125</v>
      </c>
      <c r="T97" s="242">
        <v>175</v>
      </c>
      <c r="U97" s="242">
        <v>119</v>
      </c>
      <c r="V97" s="242">
        <v>430</v>
      </c>
      <c r="W97" s="242">
        <v>430</v>
      </c>
      <c r="X97" s="247">
        <v>132.4</v>
      </c>
      <c r="Y97" s="242">
        <v>99.1</v>
      </c>
      <c r="Z97" s="242">
        <v>253</v>
      </c>
      <c r="AA97" s="242">
        <v>253</v>
      </c>
      <c r="AB97" s="242">
        <v>4</v>
      </c>
      <c r="AC97" s="242">
        <v>2.7</v>
      </c>
      <c r="AD97" s="247"/>
      <c r="AE97" s="247"/>
      <c r="AF97" s="247"/>
      <c r="AG97" s="247"/>
      <c r="AH97" s="446">
        <f>data2!$C96+data2!$B96*T97</f>
        <v>129.09050479444505</v>
      </c>
      <c r="AI97" s="446">
        <f t="shared" si="6"/>
        <v>132.4</v>
      </c>
      <c r="AJ97" s="457">
        <f t="shared" si="7"/>
        <v>-0.025637014982819752</v>
      </c>
      <c r="AK97" s="446">
        <f>IF(I97&gt;=30,data2!B96*'Proposed Spec Lines'!$E$6+data2!C96,IF(G97&gt;=1.1,data2!B96*'Proposed Spec Lines'!$C$6+data2!C96,data2!B96*'Proposed Spec Lines'!$D$6+data2!C96))</f>
        <v>214.33091590433153</v>
      </c>
      <c r="AL97" s="445">
        <f>IF(I97&gt;=30,'Proposed Spec Lines'!$E$6,IF(G97&gt;=1.1,'Proposed Spec Lines'!$C$6,'Proposed Spec Lines'!$D$6))</f>
        <v>350</v>
      </c>
      <c r="AM97" s="446">
        <f t="shared" si="8"/>
        <v>214.33091590433153</v>
      </c>
      <c r="AN97" s="445">
        <f t="shared" si="9"/>
        <v>350</v>
      </c>
      <c r="AO97" s="446">
        <f>IF(O97="Y",'Proposed Spec Lines'!$G$6*AM97+'Proposed Spec Lines'!$G$5*Y97,AM97)</f>
        <v>214.33091590433153</v>
      </c>
      <c r="AP97" s="445">
        <f>IF(O97="Y",'Proposed Spec Lines'!$G$6*AN97+'Proposed Spec Lines'!$G$5*U97,AN97)</f>
        <v>350</v>
      </c>
      <c r="AR97" s="458"/>
    </row>
    <row r="98" spans="1:44" ht="56.25">
      <c r="A98" s="416">
        <v>96</v>
      </c>
      <c r="B98" s="286">
        <v>39458</v>
      </c>
      <c r="C98" s="243" t="s">
        <v>118</v>
      </c>
      <c r="D98" s="258" t="s">
        <v>119</v>
      </c>
      <c r="E98" s="242" t="s">
        <v>120</v>
      </c>
      <c r="F98" s="242" t="s">
        <v>17</v>
      </c>
      <c r="G98" s="414">
        <f>VLOOKUP($A98,'Spec Analysis_ScreenSize'!$A$2:$E$142,5,0)</f>
        <v>2.0736</v>
      </c>
      <c r="H98" s="257" t="s">
        <v>153</v>
      </c>
      <c r="I98" s="388">
        <v>53.9</v>
      </c>
      <c r="J98" s="246">
        <v>47</v>
      </c>
      <c r="K98" s="246">
        <v>26.4</v>
      </c>
      <c r="L98" s="246">
        <v>1240.8</v>
      </c>
      <c r="M98" s="247" t="s">
        <v>142</v>
      </c>
      <c r="N98" s="247" t="s">
        <v>177</v>
      </c>
      <c r="O98" s="242" t="s">
        <v>123</v>
      </c>
      <c r="P98" s="242" t="s">
        <v>123</v>
      </c>
      <c r="Q98" s="242" t="s">
        <v>123</v>
      </c>
      <c r="R98" s="242" t="s">
        <v>173</v>
      </c>
      <c r="S98" s="242" t="s">
        <v>125</v>
      </c>
      <c r="T98" s="242">
        <v>175</v>
      </c>
      <c r="U98" s="247">
        <v>148</v>
      </c>
      <c r="V98" s="247">
        <v>370</v>
      </c>
      <c r="W98" s="247">
        <v>370</v>
      </c>
      <c r="X98" s="247">
        <v>166.6</v>
      </c>
      <c r="Y98" s="247">
        <v>145.3</v>
      </c>
      <c r="Z98" s="247">
        <v>293.6</v>
      </c>
      <c r="AA98" s="247">
        <v>293.6</v>
      </c>
      <c r="AB98" s="247">
        <v>3.8</v>
      </c>
      <c r="AC98" s="247">
        <v>2.4</v>
      </c>
      <c r="AD98" s="247"/>
      <c r="AE98" s="247"/>
      <c r="AF98" s="247"/>
      <c r="AG98" s="247"/>
      <c r="AH98" s="446">
        <f>data2!$C97+data2!$B97*T98</f>
        <v>164.76547759585276</v>
      </c>
      <c r="AI98" s="446">
        <f t="shared" si="6"/>
        <v>166.6</v>
      </c>
      <c r="AJ98" s="457">
        <f t="shared" si="7"/>
        <v>-0.011134143091837901</v>
      </c>
      <c r="AK98" s="446">
        <f>IF(I98&gt;=30,data2!B97*'Proposed Spec Lines'!$E$6+data2!C97,IF(G98&gt;=1.1,data2!B97*'Proposed Spec Lines'!$C$6+data2!C97,data2!B97*'Proposed Spec Lines'!$D$6+data2!C97))</f>
        <v>280.4863196975141</v>
      </c>
      <c r="AL98" s="445">
        <f>IF(I98&gt;=30,'Proposed Spec Lines'!$E$6,IF(G98&gt;=1.1,'Proposed Spec Lines'!$C$6,'Proposed Spec Lines'!$D$6))</f>
        <v>350</v>
      </c>
      <c r="AM98" s="446">
        <f t="shared" si="8"/>
        <v>280.4863196975141</v>
      </c>
      <c r="AN98" s="445">
        <f t="shared" si="9"/>
        <v>350</v>
      </c>
      <c r="AO98" s="446">
        <f>IF(O98="Y",'Proposed Spec Lines'!$G$6*AM98+'Proposed Spec Lines'!$G$5*Y98,AM98)</f>
        <v>280.4863196975141</v>
      </c>
      <c r="AP98" s="445">
        <f>IF(O98="Y",'Proposed Spec Lines'!$G$6*AN98+'Proposed Spec Lines'!$G$5*U98,AN98)</f>
        <v>350</v>
      </c>
      <c r="AR98" s="458"/>
    </row>
    <row r="99" spans="1:44" ht="56.25">
      <c r="A99" s="447">
        <v>97</v>
      </c>
      <c r="B99" s="286">
        <v>39458</v>
      </c>
      <c r="C99" s="243" t="s">
        <v>118</v>
      </c>
      <c r="D99" s="258" t="s">
        <v>119</v>
      </c>
      <c r="E99" s="242" t="s">
        <v>120</v>
      </c>
      <c r="F99" s="242" t="s">
        <v>17</v>
      </c>
      <c r="G99" s="414">
        <f>VLOOKUP($A99,'Spec Analysis_ScreenSize'!$A$2:$E$142,5,0)</f>
        <v>2.0736</v>
      </c>
      <c r="H99" s="257" t="s">
        <v>153</v>
      </c>
      <c r="I99" s="388">
        <v>53.9</v>
      </c>
      <c r="J99" s="246">
        <v>47</v>
      </c>
      <c r="K99" s="246">
        <v>26.4</v>
      </c>
      <c r="L99" s="246">
        <v>1240.8</v>
      </c>
      <c r="M99" s="247" t="s">
        <v>142</v>
      </c>
      <c r="N99" s="247" t="s">
        <v>177</v>
      </c>
      <c r="O99" s="242" t="s">
        <v>123</v>
      </c>
      <c r="P99" s="242" t="s">
        <v>123</v>
      </c>
      <c r="Q99" s="242" t="s">
        <v>123</v>
      </c>
      <c r="R99" s="242" t="s">
        <v>173</v>
      </c>
      <c r="S99" s="242" t="s">
        <v>125</v>
      </c>
      <c r="T99" s="242">
        <v>175</v>
      </c>
      <c r="U99" s="247">
        <v>148</v>
      </c>
      <c r="V99" s="247">
        <v>370</v>
      </c>
      <c r="W99" s="247">
        <v>370</v>
      </c>
      <c r="X99" s="247">
        <v>160.3</v>
      </c>
      <c r="Y99" s="247">
        <v>142.5</v>
      </c>
      <c r="Z99" s="247">
        <v>285.1</v>
      </c>
      <c r="AA99" s="247">
        <v>285.1</v>
      </c>
      <c r="AB99" s="247">
        <v>4.2</v>
      </c>
      <c r="AC99" s="247">
        <v>2.8</v>
      </c>
      <c r="AD99" s="247"/>
      <c r="AE99" s="247"/>
      <c r="AF99" s="247"/>
      <c r="AG99" s="247"/>
      <c r="AH99" s="446">
        <f>data2!$C98+data2!$B98*T99</f>
        <v>160.0432428270801</v>
      </c>
      <c r="AI99" s="446">
        <f t="shared" si="6"/>
        <v>160.3</v>
      </c>
      <c r="AJ99" s="457">
        <f t="shared" si="7"/>
        <v>-0.0016042987406680702</v>
      </c>
      <c r="AK99" s="446">
        <f>IF(I99&gt;=30,data2!B98*'Proposed Spec Lines'!$E$6+data2!C98,IF(G99&gt;=1.1,data2!B98*'Proposed Spec Lines'!$C$6+data2!C98,data2!B98*'Proposed Spec Lines'!$D$6+data2!C98))</f>
        <v>272.2876781467604</v>
      </c>
      <c r="AL99" s="445">
        <f>IF(I99&gt;=30,'Proposed Spec Lines'!$E$6,IF(G99&gt;=1.1,'Proposed Spec Lines'!$C$6,'Proposed Spec Lines'!$D$6))</f>
        <v>350</v>
      </c>
      <c r="AM99" s="446">
        <f t="shared" si="8"/>
        <v>272.2876781467604</v>
      </c>
      <c r="AN99" s="445">
        <f t="shared" si="9"/>
        <v>350</v>
      </c>
      <c r="AO99" s="446">
        <f>IF(O99="Y",'Proposed Spec Lines'!$G$6*AM99+'Proposed Spec Lines'!$G$5*Y99,AM99)</f>
        <v>272.2876781467604</v>
      </c>
      <c r="AP99" s="445">
        <f>IF(O99="Y",'Proposed Spec Lines'!$G$6*AN99+'Proposed Spec Lines'!$G$5*U99,AN99)</f>
        <v>350</v>
      </c>
      <c r="AR99" s="458"/>
    </row>
    <row r="100" spans="1:44" ht="56.25">
      <c r="A100" s="416">
        <v>98</v>
      </c>
      <c r="B100" s="286">
        <v>39458</v>
      </c>
      <c r="C100" s="243" t="s">
        <v>118</v>
      </c>
      <c r="D100" s="258" t="s">
        <v>119</v>
      </c>
      <c r="E100" s="242" t="s">
        <v>120</v>
      </c>
      <c r="F100" s="242" t="s">
        <v>17</v>
      </c>
      <c r="G100" s="414">
        <f>VLOOKUP($A100,'Spec Analysis_ScreenSize'!$A$2:$E$142,5,0)</f>
        <v>2.0736</v>
      </c>
      <c r="H100" s="257" t="s">
        <v>153</v>
      </c>
      <c r="I100" s="388">
        <v>53.9</v>
      </c>
      <c r="J100" s="246">
        <v>47</v>
      </c>
      <c r="K100" s="246">
        <v>26.4</v>
      </c>
      <c r="L100" s="246">
        <v>1240.8</v>
      </c>
      <c r="M100" s="247" t="s">
        <v>142</v>
      </c>
      <c r="N100" s="247" t="s">
        <v>177</v>
      </c>
      <c r="O100" s="242" t="s">
        <v>123</v>
      </c>
      <c r="P100" s="242" t="s">
        <v>123</v>
      </c>
      <c r="Q100" s="242" t="s">
        <v>123</v>
      </c>
      <c r="R100" s="242" t="s">
        <v>173</v>
      </c>
      <c r="S100" s="242" t="s">
        <v>125</v>
      </c>
      <c r="T100" s="242">
        <v>175</v>
      </c>
      <c r="U100" s="247">
        <v>148</v>
      </c>
      <c r="V100" s="247">
        <v>370</v>
      </c>
      <c r="W100" s="247">
        <v>370</v>
      </c>
      <c r="X100" s="242">
        <v>166.6</v>
      </c>
      <c r="Y100" s="242">
        <v>143.9</v>
      </c>
      <c r="Z100" s="242">
        <v>288</v>
      </c>
      <c r="AA100" s="242">
        <v>288</v>
      </c>
      <c r="AB100" s="242">
        <v>3.9</v>
      </c>
      <c r="AC100" s="242">
        <v>2.4</v>
      </c>
      <c r="AD100" s="247"/>
      <c r="AE100" s="247"/>
      <c r="AF100" s="247"/>
      <c r="AG100" s="247"/>
      <c r="AH100" s="446">
        <f>data2!$C99+data2!$B99*T100</f>
        <v>163.69135143458396</v>
      </c>
      <c r="AI100" s="446">
        <f t="shared" si="6"/>
        <v>166.6</v>
      </c>
      <c r="AJ100" s="457">
        <f t="shared" si="7"/>
        <v>-0.01776910349828967</v>
      </c>
      <c r="AK100" s="446">
        <f>IF(I100&gt;=30,data2!B99*'Proposed Spec Lines'!$E$6+data2!C99,IF(G100&gt;=1.1,data2!B99*'Proposed Spec Lines'!$C$6+data2!C99,data2!B99*'Proposed Spec Lines'!$D$6+data2!C99))</f>
        <v>275.40913103731464</v>
      </c>
      <c r="AL100" s="445">
        <f>IF(I100&gt;=30,'Proposed Spec Lines'!$E$6,IF(G100&gt;=1.1,'Proposed Spec Lines'!$C$6,'Proposed Spec Lines'!$D$6))</f>
        <v>350</v>
      </c>
      <c r="AM100" s="446">
        <f t="shared" si="8"/>
        <v>275.40913103731464</v>
      </c>
      <c r="AN100" s="445">
        <f t="shared" si="9"/>
        <v>350</v>
      </c>
      <c r="AO100" s="446">
        <f>IF(O100="Y",'Proposed Spec Lines'!$G$6*AM100+'Proposed Spec Lines'!$G$5*Y100,AM100)</f>
        <v>275.40913103731464</v>
      </c>
      <c r="AP100" s="445">
        <f>IF(O100="Y",'Proposed Spec Lines'!$G$6*AN100+'Proposed Spec Lines'!$G$5*U100,AN100)</f>
        <v>350</v>
      </c>
      <c r="AR100" s="458"/>
    </row>
    <row r="101" spans="1:44" ht="11.25">
      <c r="A101" s="416">
        <v>99</v>
      </c>
      <c r="B101" s="473">
        <v>39532</v>
      </c>
      <c r="C101" s="474" t="s">
        <v>118</v>
      </c>
      <c r="D101" s="475" t="s">
        <v>119</v>
      </c>
      <c r="E101" s="475" t="s">
        <v>127</v>
      </c>
      <c r="F101" s="475" t="s">
        <v>2</v>
      </c>
      <c r="G101" s="414">
        <f>VLOOKUP($A101,'Spec Analysis_ScreenSize'!$A$2:$E$142,5,0)</f>
        <v>1.764</v>
      </c>
      <c r="H101" s="476" t="s">
        <v>153</v>
      </c>
      <c r="I101" s="477">
        <v>22</v>
      </c>
      <c r="J101" s="475">
        <v>18.6</v>
      </c>
      <c r="K101" s="475">
        <v>11.6</v>
      </c>
      <c r="L101" s="246">
        <v>215.76</v>
      </c>
      <c r="M101" s="475"/>
      <c r="N101" s="475" t="s">
        <v>180</v>
      </c>
      <c r="O101" s="475"/>
      <c r="P101" s="475" t="s">
        <v>122</v>
      </c>
      <c r="Q101" s="260"/>
      <c r="R101" s="475" t="s">
        <v>179</v>
      </c>
      <c r="S101" s="475" t="s">
        <v>178</v>
      </c>
      <c r="T101" s="475">
        <v>175</v>
      </c>
      <c r="U101" s="475">
        <v>44.3</v>
      </c>
      <c r="V101" s="475">
        <v>251.2</v>
      </c>
      <c r="W101" s="475">
        <v>269.4</v>
      </c>
      <c r="X101" s="475">
        <v>28.3</v>
      </c>
      <c r="Y101" s="475">
        <v>24.9</v>
      </c>
      <c r="Z101" s="475">
        <v>36.3</v>
      </c>
      <c r="AA101" s="475">
        <v>37.6</v>
      </c>
      <c r="AB101" s="475">
        <v>0.89</v>
      </c>
      <c r="AC101" s="475">
        <v>0.67</v>
      </c>
      <c r="AD101" s="260"/>
      <c r="AE101" s="260"/>
      <c r="AF101" s="260"/>
      <c r="AG101" s="260"/>
      <c r="AH101" s="446">
        <f>data2!$C100+data2!$B100*T101</f>
        <v>31.20537131251983</v>
      </c>
      <c r="AI101" s="446">
        <f t="shared" si="6"/>
        <v>28.3</v>
      </c>
      <c r="AJ101" s="457">
        <f t="shared" si="7"/>
        <v>0.09310484670804646</v>
      </c>
      <c r="AK101" s="446">
        <f>IF(I101&gt;=30,data2!B100*'Proposed Spec Lines'!$E$6+data2!C100,IF(G101&gt;=1.1,data2!B100*'Proposed Spec Lines'!$C$6+data2!C100,data2!B100*'Proposed Spec Lines'!$D$6+data2!C100))</f>
        <v>32.63301213327214</v>
      </c>
      <c r="AL101" s="445">
        <f>IF(I101&gt;=30,'Proposed Spec Lines'!$E$6,IF(G101&gt;=1.1,'Proposed Spec Lines'!$C$6,'Proposed Spec Lines'!$D$6))</f>
        <v>200</v>
      </c>
      <c r="AM101" s="446">
        <f t="shared" si="8"/>
        <v>32.63301213327214</v>
      </c>
      <c r="AN101" s="445">
        <f t="shared" si="9"/>
        <v>200</v>
      </c>
      <c r="AO101" s="446">
        <f>IF(O101="Y",'Proposed Spec Lines'!$G$6*AM101+'Proposed Spec Lines'!$G$5*Y101,AM101)</f>
        <v>32.63301213327214</v>
      </c>
      <c r="AP101" s="445">
        <f>IF(O101="Y",'Proposed Spec Lines'!$G$6*AN101+'Proposed Spec Lines'!$G$5*U101,AN101)</f>
        <v>200</v>
      </c>
      <c r="AR101" s="458"/>
    </row>
    <row r="102" spans="1:44" s="421" customFormat="1" ht="11.25">
      <c r="A102" s="447">
        <v>100</v>
      </c>
      <c r="B102" s="473">
        <v>39528</v>
      </c>
      <c r="C102" s="474" t="s">
        <v>118</v>
      </c>
      <c r="D102" s="475" t="s">
        <v>119</v>
      </c>
      <c r="E102" s="475" t="s">
        <v>127</v>
      </c>
      <c r="F102" s="475" t="s">
        <v>14</v>
      </c>
      <c r="G102" s="414">
        <f>VLOOKUP($A102,'Spec Analysis_ScreenSize'!$A$2:$E$142,5,0)</f>
        <v>0.786432</v>
      </c>
      <c r="H102" s="476" t="s">
        <v>151</v>
      </c>
      <c r="I102" s="477">
        <v>15</v>
      </c>
      <c r="J102" s="475">
        <v>11.9</v>
      </c>
      <c r="K102" s="475">
        <v>8.9</v>
      </c>
      <c r="L102" s="246">
        <v>105.91</v>
      </c>
      <c r="M102" s="475"/>
      <c r="N102" s="475" t="s">
        <v>178</v>
      </c>
      <c r="O102" s="475"/>
      <c r="P102" s="475" t="s">
        <v>122</v>
      </c>
      <c r="Q102" s="260"/>
      <c r="R102" s="475" t="s">
        <v>179</v>
      </c>
      <c r="S102" s="475" t="s">
        <v>178</v>
      </c>
      <c r="T102" s="475">
        <v>175</v>
      </c>
      <c r="U102" s="475">
        <v>5.8</v>
      </c>
      <c r="V102" s="475">
        <v>203.8</v>
      </c>
      <c r="W102" s="475">
        <v>204.1</v>
      </c>
      <c r="X102" s="475">
        <v>16.1</v>
      </c>
      <c r="Y102" s="475">
        <v>11</v>
      </c>
      <c r="Z102" s="475">
        <v>16.9</v>
      </c>
      <c r="AA102" s="475">
        <v>17.4</v>
      </c>
      <c r="AB102" s="475">
        <v>0.68</v>
      </c>
      <c r="AC102" s="475">
        <v>0.64</v>
      </c>
      <c r="AD102" s="260"/>
      <c r="AE102" s="260"/>
      <c r="AF102" s="260"/>
      <c r="AG102" s="260"/>
      <c r="AH102" s="422">
        <f>data2!$C101+data2!$B101*T102</f>
        <v>16.209371978998433</v>
      </c>
      <c r="AI102" s="422">
        <f t="shared" si="6"/>
        <v>16.1</v>
      </c>
      <c r="AJ102" s="423">
        <f t="shared" si="7"/>
        <v>0.006747453210410562</v>
      </c>
      <c r="AK102" s="422">
        <f>IF(I102&gt;=30,data2!B101*'Proposed Spec Lines'!$E$6+data2!C101,IF(G102&gt;=1.1,data2!B101*'Proposed Spec Lines'!$C$6+data2!C101,data2!B101*'Proposed Spec Lines'!$D$6+data2!C101))</f>
        <v>16.209371978998433</v>
      </c>
      <c r="AL102" s="424">
        <f>IF(I102&gt;=30,'Proposed Spec Lines'!$E$6,IF(G102&gt;=1.1,'Proposed Spec Lines'!$C$6,'Proposed Spec Lines'!$D$6))</f>
        <v>175</v>
      </c>
      <c r="AM102" s="422">
        <f t="shared" si="8"/>
        <v>16.1</v>
      </c>
      <c r="AN102" s="424">
        <f t="shared" si="9"/>
        <v>175</v>
      </c>
      <c r="AO102" s="446">
        <f>IF(O102="Y",'Proposed Spec Lines'!$G$6*AM102+'Proposed Spec Lines'!$G$5*Y102,AM102)</f>
        <v>16.1</v>
      </c>
      <c r="AP102" s="445">
        <f>IF(O102="Y",'Proposed Spec Lines'!$G$6*AN102+'Proposed Spec Lines'!$G$5*U102,AN102)</f>
        <v>175</v>
      </c>
      <c r="AR102" s="425"/>
    </row>
    <row r="103" spans="1:44" ht="11.25">
      <c r="A103" s="416">
        <v>101</v>
      </c>
      <c r="B103" s="473">
        <v>39528</v>
      </c>
      <c r="C103" s="474" t="s">
        <v>118</v>
      </c>
      <c r="D103" s="475" t="s">
        <v>119</v>
      </c>
      <c r="E103" s="475" t="s">
        <v>127</v>
      </c>
      <c r="F103" s="475" t="s">
        <v>3</v>
      </c>
      <c r="G103" s="414">
        <f>VLOOKUP($A103,'Spec Analysis_ScreenSize'!$A$2:$E$142,5,0)</f>
        <v>1.31072</v>
      </c>
      <c r="H103" s="476" t="s">
        <v>151</v>
      </c>
      <c r="I103" s="477">
        <v>17</v>
      </c>
      <c r="J103" s="475">
        <v>13.3</v>
      </c>
      <c r="K103" s="475">
        <v>10.6</v>
      </c>
      <c r="L103" s="246">
        <v>140.98</v>
      </c>
      <c r="M103" s="475"/>
      <c r="N103" s="475" t="s">
        <v>178</v>
      </c>
      <c r="O103" s="475"/>
      <c r="P103" s="475" t="s">
        <v>122</v>
      </c>
      <c r="Q103" s="260"/>
      <c r="R103" s="475" t="s">
        <v>179</v>
      </c>
      <c r="S103" s="475" t="s">
        <v>178</v>
      </c>
      <c r="T103" s="475">
        <v>175</v>
      </c>
      <c r="U103" s="475">
        <v>7.9</v>
      </c>
      <c r="V103" s="475">
        <v>220</v>
      </c>
      <c r="W103" s="475">
        <v>230</v>
      </c>
      <c r="X103" s="475">
        <v>23</v>
      </c>
      <c r="Y103" s="475">
        <v>15.7</v>
      </c>
      <c r="Z103" s="475">
        <v>26.1</v>
      </c>
      <c r="AA103" s="475">
        <v>26.5</v>
      </c>
      <c r="AB103" s="475">
        <v>0.72</v>
      </c>
      <c r="AC103" s="475">
        <v>0.7</v>
      </c>
      <c r="AD103" s="260"/>
      <c r="AE103" s="260"/>
      <c r="AF103" s="260"/>
      <c r="AG103" s="260"/>
      <c r="AH103" s="446">
        <f>data2!$C102+data2!$B102*T103</f>
        <v>23.63622629992033</v>
      </c>
      <c r="AI103" s="446">
        <f t="shared" si="6"/>
        <v>23</v>
      </c>
      <c r="AJ103" s="457">
        <f t="shared" si="7"/>
        <v>0.026917422935761767</v>
      </c>
      <c r="AK103" s="446">
        <f>IF(I103&gt;=30,data2!B102*'Proposed Spec Lines'!$E$6+data2!C102,IF(G103&gt;=1.1,data2!B102*'Proposed Spec Lines'!$C$6+data2!C102,data2!B102*'Proposed Spec Lines'!$D$6+data2!C102))</f>
        <v>24.84520737282693</v>
      </c>
      <c r="AL103" s="445">
        <f>IF(I103&gt;=30,'Proposed Spec Lines'!$E$6,IF(G103&gt;=1.1,'Proposed Spec Lines'!$C$6,'Proposed Spec Lines'!$D$6))</f>
        <v>200</v>
      </c>
      <c r="AM103" s="446">
        <f t="shared" si="8"/>
        <v>24.84520737282693</v>
      </c>
      <c r="AN103" s="445">
        <f t="shared" si="9"/>
        <v>200</v>
      </c>
      <c r="AO103" s="446">
        <f>IF(O103="Y",'Proposed Spec Lines'!$G$6*AM103+'Proposed Spec Lines'!$G$5*Y103,AM103)</f>
        <v>24.84520737282693</v>
      </c>
      <c r="AP103" s="445">
        <f>IF(O103="Y",'Proposed Spec Lines'!$G$6*AN103+'Proposed Spec Lines'!$G$5*U103,AN103)</f>
        <v>200</v>
      </c>
      <c r="AR103" s="458"/>
    </row>
    <row r="104" spans="1:44" ht="11.25">
      <c r="A104" s="416">
        <v>102</v>
      </c>
      <c r="B104" s="473">
        <v>39528</v>
      </c>
      <c r="C104" s="474" t="s">
        <v>118</v>
      </c>
      <c r="D104" s="475" t="s">
        <v>119</v>
      </c>
      <c r="E104" s="475" t="s">
        <v>127</v>
      </c>
      <c r="F104" s="475" t="s">
        <v>3</v>
      </c>
      <c r="G104" s="414">
        <f>VLOOKUP($A104,'Spec Analysis_ScreenSize'!$A$2:$E$142,5,0)</f>
        <v>1.31072</v>
      </c>
      <c r="H104" s="476" t="s">
        <v>151</v>
      </c>
      <c r="I104" s="477">
        <v>17</v>
      </c>
      <c r="J104" s="475">
        <v>13.3</v>
      </c>
      <c r="K104" s="475">
        <v>10.6</v>
      </c>
      <c r="L104" s="246">
        <v>140.98</v>
      </c>
      <c r="M104" s="475"/>
      <c r="N104" s="475" t="s">
        <v>180</v>
      </c>
      <c r="O104" s="475"/>
      <c r="P104" s="475" t="s">
        <v>122</v>
      </c>
      <c r="Q104" s="260"/>
      <c r="R104" s="475" t="s">
        <v>179</v>
      </c>
      <c r="S104" s="475" t="s">
        <v>178</v>
      </c>
      <c r="T104" s="475">
        <v>175</v>
      </c>
      <c r="U104" s="475">
        <v>16.8</v>
      </c>
      <c r="V104" s="475">
        <v>190</v>
      </c>
      <c r="W104" s="475">
        <v>232.2</v>
      </c>
      <c r="X104" s="475">
        <v>24.7</v>
      </c>
      <c r="Y104" s="475">
        <v>15.3</v>
      </c>
      <c r="Z104" s="475">
        <v>26.1</v>
      </c>
      <c r="AA104" s="475">
        <v>30.3</v>
      </c>
      <c r="AB104" s="475">
        <v>0.69</v>
      </c>
      <c r="AC104" s="475">
        <v>0.6</v>
      </c>
      <c r="AD104" s="260"/>
      <c r="AE104" s="260"/>
      <c r="AF104" s="260"/>
      <c r="AG104" s="260"/>
      <c r="AH104" s="446">
        <f>data2!$C103+data2!$B103*T104</f>
        <v>25.53209317460341</v>
      </c>
      <c r="AI104" s="446">
        <f t="shared" si="6"/>
        <v>24.7</v>
      </c>
      <c r="AJ104" s="457">
        <f t="shared" si="7"/>
        <v>0.03259008843940333</v>
      </c>
      <c r="AK104" s="446">
        <f>IF(I104&gt;=30,data2!B103*'Proposed Spec Lines'!$E$6+data2!C103,IF(G104&gt;=1.1,data2!B103*'Proposed Spec Lines'!$C$6+data2!C103,data2!B103*'Proposed Spec Lines'!$D$6+data2!C103))</f>
        <v>27.19731779623529</v>
      </c>
      <c r="AL104" s="445">
        <f>IF(I104&gt;=30,'Proposed Spec Lines'!$E$6,IF(G104&gt;=1.1,'Proposed Spec Lines'!$C$6,'Proposed Spec Lines'!$D$6))</f>
        <v>200</v>
      </c>
      <c r="AM104" s="446">
        <f t="shared" si="8"/>
        <v>27.19731779623529</v>
      </c>
      <c r="AN104" s="445">
        <f t="shared" si="9"/>
        <v>200</v>
      </c>
      <c r="AO104" s="446">
        <f>IF(O104="Y",'Proposed Spec Lines'!$G$6*AM104+'Proposed Spec Lines'!$G$5*Y104,AM104)</f>
        <v>27.19731779623529</v>
      </c>
      <c r="AP104" s="445">
        <f>IF(O104="Y",'Proposed Spec Lines'!$G$6*AN104+'Proposed Spec Lines'!$G$5*U104,AN104)</f>
        <v>200</v>
      </c>
      <c r="AR104" s="458"/>
    </row>
    <row r="105" spans="1:44" ht="11.25">
      <c r="A105" s="447">
        <v>103</v>
      </c>
      <c r="B105" s="473">
        <v>39531</v>
      </c>
      <c r="C105" s="474" t="s">
        <v>118</v>
      </c>
      <c r="D105" s="475" t="s">
        <v>119</v>
      </c>
      <c r="E105" s="475" t="s">
        <v>127</v>
      </c>
      <c r="F105" s="475" t="s">
        <v>3</v>
      </c>
      <c r="G105" s="414">
        <f>VLOOKUP($A105,'Spec Analysis_ScreenSize'!$A$2:$E$142,5,0)</f>
        <v>1.31072</v>
      </c>
      <c r="H105" s="476" t="s">
        <v>151</v>
      </c>
      <c r="I105" s="477">
        <v>19</v>
      </c>
      <c r="J105" s="475">
        <v>14.8</v>
      </c>
      <c r="K105" s="475">
        <v>11.9</v>
      </c>
      <c r="L105" s="246">
        <v>176.12</v>
      </c>
      <c r="M105" s="475"/>
      <c r="N105" s="475" t="s">
        <v>180</v>
      </c>
      <c r="O105" s="475"/>
      <c r="P105" s="475" t="s">
        <v>122</v>
      </c>
      <c r="Q105" s="260"/>
      <c r="R105" s="475" t="s">
        <v>179</v>
      </c>
      <c r="S105" s="475" t="s">
        <v>178</v>
      </c>
      <c r="T105" s="475">
        <v>175</v>
      </c>
      <c r="U105" s="475">
        <v>19.1</v>
      </c>
      <c r="V105" s="475">
        <v>210.8</v>
      </c>
      <c r="W105" s="475">
        <v>307.2</v>
      </c>
      <c r="X105" s="475">
        <v>23.8</v>
      </c>
      <c r="Y105" s="475">
        <v>13.9</v>
      </c>
      <c r="Z105" s="475">
        <v>26.3</v>
      </c>
      <c r="AA105" s="475">
        <v>33.3</v>
      </c>
      <c r="AB105" s="475">
        <v>0.71</v>
      </c>
      <c r="AC105" s="475">
        <v>0.65</v>
      </c>
      <c r="AD105" s="260"/>
      <c r="AE105" s="260"/>
      <c r="AF105" s="260"/>
      <c r="AG105" s="260"/>
      <c r="AH105" s="446">
        <f>data2!$C104+data2!$B104*T105</f>
        <v>24.122348240263676</v>
      </c>
      <c r="AI105" s="446">
        <f t="shared" si="6"/>
        <v>23.8</v>
      </c>
      <c r="AJ105" s="457">
        <f t="shared" si="7"/>
        <v>0.013363053922156294</v>
      </c>
      <c r="AK105" s="446">
        <f>IF(I105&gt;=30,data2!B104*'Proposed Spec Lines'!$E$6+data2!C104,IF(G105&gt;=1.1,data2!B104*'Proposed Spec Lines'!$C$6+data2!C104,data2!B104*'Proposed Spec Lines'!$D$6+data2!C104))</f>
        <v>25.79715617196885</v>
      </c>
      <c r="AL105" s="445">
        <f>IF(I105&gt;=30,'Proposed Spec Lines'!$E$6,IF(G105&gt;=1.1,'Proposed Spec Lines'!$C$6,'Proposed Spec Lines'!$D$6))</f>
        <v>200</v>
      </c>
      <c r="AM105" s="446">
        <f t="shared" si="8"/>
        <v>25.79715617196885</v>
      </c>
      <c r="AN105" s="445">
        <f t="shared" si="9"/>
        <v>200</v>
      </c>
      <c r="AO105" s="446">
        <f>IF(O105="Y",'Proposed Spec Lines'!$G$6*AM105+'Proposed Spec Lines'!$G$5*Y105,AM105)</f>
        <v>25.79715617196885</v>
      </c>
      <c r="AP105" s="445">
        <f>IF(O105="Y",'Proposed Spec Lines'!$G$6*AN105+'Proposed Spec Lines'!$G$5*U105,AN105)</f>
        <v>200</v>
      </c>
      <c r="AR105" s="458"/>
    </row>
    <row r="106" spans="1:44" ht="11.25">
      <c r="A106" s="416">
        <v>104</v>
      </c>
      <c r="B106" s="473">
        <v>39532</v>
      </c>
      <c r="C106" s="474" t="s">
        <v>118</v>
      </c>
      <c r="D106" s="475" t="s">
        <v>119</v>
      </c>
      <c r="E106" s="475" t="s">
        <v>127</v>
      </c>
      <c r="F106" s="475" t="s">
        <v>2</v>
      </c>
      <c r="G106" s="414">
        <f>VLOOKUP($A106,'Spec Analysis_ScreenSize'!$A$2:$E$142,5,0)</f>
        <v>1.764</v>
      </c>
      <c r="H106" s="476" t="s">
        <v>153</v>
      </c>
      <c r="I106" s="477">
        <v>20</v>
      </c>
      <c r="J106" s="475">
        <v>17</v>
      </c>
      <c r="K106" s="475">
        <v>10.6</v>
      </c>
      <c r="L106" s="246">
        <v>180.2</v>
      </c>
      <c r="M106" s="475"/>
      <c r="N106" s="475" t="s">
        <v>180</v>
      </c>
      <c r="O106" s="475"/>
      <c r="P106" s="475" t="s">
        <v>122</v>
      </c>
      <c r="Q106" s="260"/>
      <c r="R106" s="475" t="s">
        <v>136</v>
      </c>
      <c r="S106" s="475" t="s">
        <v>178</v>
      </c>
      <c r="T106" s="475">
        <v>175</v>
      </c>
      <c r="U106" s="475">
        <v>17</v>
      </c>
      <c r="V106" s="475">
        <v>272.2</v>
      </c>
      <c r="W106" s="475">
        <v>283.1</v>
      </c>
      <c r="X106" s="475">
        <v>28.8</v>
      </c>
      <c r="Y106" s="475">
        <v>16.2</v>
      </c>
      <c r="Z106" s="475">
        <v>37.8</v>
      </c>
      <c r="AA106" s="475">
        <v>38.4</v>
      </c>
      <c r="AB106" s="475">
        <v>0.74</v>
      </c>
      <c r="AC106" s="475">
        <v>0.69</v>
      </c>
      <c r="AD106" s="260"/>
      <c r="AE106" s="260"/>
      <c r="AF106" s="260"/>
      <c r="AG106" s="260"/>
      <c r="AH106" s="446">
        <f>data2!$C105+data2!$B105*T106</f>
        <v>29.304828464894605</v>
      </c>
      <c r="AI106" s="446">
        <f t="shared" si="6"/>
        <v>28.8</v>
      </c>
      <c r="AJ106" s="457">
        <f t="shared" si="7"/>
        <v>0.01722680156614321</v>
      </c>
      <c r="AK106" s="446">
        <f>IF(I106&gt;=30,data2!B105*'Proposed Spec Lines'!$E$6+data2!C105,IF(G106&gt;=1.1,data2!B105*'Proposed Spec Lines'!$C$6+data2!C105,data2!B105*'Proposed Spec Lines'!$D$6+data2!C105))</f>
        <v>31.408785198732645</v>
      </c>
      <c r="AL106" s="445">
        <f>IF(I106&gt;=30,'Proposed Spec Lines'!$E$6,IF(G106&gt;=1.1,'Proposed Spec Lines'!$C$6,'Proposed Spec Lines'!$D$6))</f>
        <v>200</v>
      </c>
      <c r="AM106" s="446">
        <f t="shared" si="8"/>
        <v>31.408785198732645</v>
      </c>
      <c r="AN106" s="445">
        <f t="shared" si="9"/>
        <v>200</v>
      </c>
      <c r="AO106" s="446">
        <f>IF(O106="Y",'Proposed Spec Lines'!$G$6*AM106+'Proposed Spec Lines'!$G$5*Y106,AM106)</f>
        <v>31.408785198732645</v>
      </c>
      <c r="AP106" s="445">
        <f>IF(O106="Y",'Proposed Spec Lines'!$G$6*AN106+'Proposed Spec Lines'!$G$5*U106,AN106)</f>
        <v>200</v>
      </c>
      <c r="AR106" s="458"/>
    </row>
    <row r="107" spans="1:44" ht="35.25" customHeight="1">
      <c r="A107" s="416">
        <v>105</v>
      </c>
      <c r="B107" s="473">
        <v>39532</v>
      </c>
      <c r="C107" s="474" t="s">
        <v>118</v>
      </c>
      <c r="D107" s="475" t="s">
        <v>119</v>
      </c>
      <c r="E107" s="475" t="s">
        <v>127</v>
      </c>
      <c r="F107" s="475" t="s">
        <v>1</v>
      </c>
      <c r="G107" s="414">
        <f>VLOOKUP($A107,'Spec Analysis_ScreenSize'!$A$2:$E$142,5,0)</f>
        <v>2.304</v>
      </c>
      <c r="H107" s="476" t="s">
        <v>153</v>
      </c>
      <c r="I107" s="477">
        <v>27</v>
      </c>
      <c r="J107" s="475">
        <v>22.9</v>
      </c>
      <c r="K107" s="475">
        <v>14.3</v>
      </c>
      <c r="L107" s="246">
        <v>327.47</v>
      </c>
      <c r="M107" s="475"/>
      <c r="N107" s="475" t="s">
        <v>181</v>
      </c>
      <c r="O107" s="475"/>
      <c r="P107" s="475" t="s">
        <v>122</v>
      </c>
      <c r="Q107" s="260"/>
      <c r="R107" s="475" t="s">
        <v>136</v>
      </c>
      <c r="S107" s="475" t="s">
        <v>178</v>
      </c>
      <c r="T107" s="475">
        <v>175</v>
      </c>
      <c r="U107" s="475">
        <v>89.4</v>
      </c>
      <c r="V107" s="475">
        <v>440</v>
      </c>
      <c r="W107" s="475">
        <v>540</v>
      </c>
      <c r="X107" s="475">
        <v>54.8</v>
      </c>
      <c r="Y107" s="475">
        <v>53.1</v>
      </c>
      <c r="Z107" s="475">
        <v>118</v>
      </c>
      <c r="AA107" s="475">
        <v>128.8</v>
      </c>
      <c r="AB107" s="478">
        <v>1.65</v>
      </c>
      <c r="AC107" s="475">
        <v>0.66</v>
      </c>
      <c r="AD107" s="260"/>
      <c r="AE107" s="260"/>
      <c r="AF107" s="260"/>
      <c r="AG107" s="260"/>
      <c r="AH107" s="461">
        <f>data2!$C106+data2!$B106*T107</f>
        <v>63.32191600043663</v>
      </c>
      <c r="AI107" s="461">
        <f t="shared" si="6"/>
        <v>54.8</v>
      </c>
      <c r="AJ107" s="462">
        <f t="shared" si="7"/>
        <v>0.1345808298090328</v>
      </c>
      <c r="AK107" s="446">
        <f>IF(I107&gt;=30,data2!B106*'Proposed Spec Lines'!$E$6+data2!C106,IF(G107&gt;=1.1,data2!B106*'Proposed Spec Lines'!$C$6+data2!C106,data2!B106*'Proposed Spec Lines'!$D$6+data2!C106))</f>
        <v>67.97898506721903</v>
      </c>
      <c r="AL107" s="445">
        <f>IF(I107&gt;=30,'Proposed Spec Lines'!$E$6,IF(G107&gt;=1.1,'Proposed Spec Lines'!$C$6,'Proposed Spec Lines'!$D$6))</f>
        <v>200</v>
      </c>
      <c r="AM107" s="446">
        <f t="shared" si="8"/>
        <v>67.97898506721903</v>
      </c>
      <c r="AN107" s="445">
        <f t="shared" si="9"/>
        <v>200</v>
      </c>
      <c r="AO107" s="446">
        <f>IF(O107="Y",'Proposed Spec Lines'!$G$6*AM107+'Proposed Spec Lines'!$G$5*Y107,AM107)</f>
        <v>67.97898506721903</v>
      </c>
      <c r="AP107" s="445">
        <f>IF(O107="Y",'Proposed Spec Lines'!$G$6*AN107+'Proposed Spec Lines'!$G$5*U107,AN107)</f>
        <v>200</v>
      </c>
      <c r="AR107" s="458"/>
    </row>
    <row r="108" spans="1:44" ht="11.25">
      <c r="A108" s="447">
        <v>106</v>
      </c>
      <c r="B108" s="473">
        <v>39531</v>
      </c>
      <c r="C108" s="474" t="s">
        <v>118</v>
      </c>
      <c r="D108" s="475" t="s">
        <v>119</v>
      </c>
      <c r="E108" s="475" t="s">
        <v>127</v>
      </c>
      <c r="F108" s="475" t="s">
        <v>4</v>
      </c>
      <c r="G108" s="414">
        <f>VLOOKUP($A108,'Spec Analysis_ScreenSize'!$A$2:$E$142,5,0)</f>
        <v>1.296</v>
      </c>
      <c r="H108" s="476" t="s">
        <v>153</v>
      </c>
      <c r="I108" s="477">
        <v>19</v>
      </c>
      <c r="J108" s="475">
        <v>16</v>
      </c>
      <c r="K108" s="475">
        <v>10</v>
      </c>
      <c r="L108" s="246">
        <v>160</v>
      </c>
      <c r="M108" s="475"/>
      <c r="N108" s="475" t="s">
        <v>180</v>
      </c>
      <c r="O108" s="475"/>
      <c r="P108" s="475" t="s">
        <v>122</v>
      </c>
      <c r="Q108" s="260"/>
      <c r="R108" s="475" t="s">
        <v>179</v>
      </c>
      <c r="S108" s="475" t="s">
        <v>178</v>
      </c>
      <c r="T108" s="475">
        <v>175</v>
      </c>
      <c r="U108" s="475">
        <v>21.5</v>
      </c>
      <c r="V108" s="475">
        <v>200</v>
      </c>
      <c r="W108" s="475">
        <v>278</v>
      </c>
      <c r="X108" s="475">
        <v>25.8</v>
      </c>
      <c r="Y108" s="475">
        <v>15.8</v>
      </c>
      <c r="Z108" s="475">
        <v>27.9</v>
      </c>
      <c r="AA108" s="475">
        <v>34.4</v>
      </c>
      <c r="AB108" s="475">
        <v>0.91</v>
      </c>
      <c r="AC108" s="475">
        <v>0.59</v>
      </c>
      <c r="AD108" s="260"/>
      <c r="AE108" s="260"/>
      <c r="AF108" s="260"/>
      <c r="AG108" s="260"/>
      <c r="AH108" s="446">
        <f>data2!$C107+data2!$B107*T108</f>
        <v>26.431080108059533</v>
      </c>
      <c r="AI108" s="446">
        <f t="shared" si="6"/>
        <v>25.8</v>
      </c>
      <c r="AJ108" s="457">
        <f t="shared" si="7"/>
        <v>0.023876440367909858</v>
      </c>
      <c r="AK108" s="446">
        <f>IF(I108&gt;=30,data2!B107*'Proposed Spec Lines'!$E$6+data2!C107,IF(G108&gt;=1.1,data2!B107*'Proposed Spec Lines'!$C$6+data2!C107,data2!B107*'Proposed Spec Lines'!$D$6+data2!C107))</f>
        <v>28.219629551430238</v>
      </c>
      <c r="AL108" s="445">
        <f>IF(I108&gt;=30,'Proposed Spec Lines'!$E$6,IF(G108&gt;=1.1,'Proposed Spec Lines'!$C$6,'Proposed Spec Lines'!$D$6))</f>
        <v>200</v>
      </c>
      <c r="AM108" s="446">
        <f t="shared" si="8"/>
        <v>28.219629551430238</v>
      </c>
      <c r="AN108" s="445">
        <f t="shared" si="9"/>
        <v>200</v>
      </c>
      <c r="AO108" s="446">
        <f>IF(O108="Y",'Proposed Spec Lines'!$G$6*AM108+'Proposed Spec Lines'!$G$5*Y108,AM108)</f>
        <v>28.219629551430238</v>
      </c>
      <c r="AP108" s="445">
        <f>IF(O108="Y",'Proposed Spec Lines'!$G$6*AN108+'Proposed Spec Lines'!$G$5*U108,AN108)</f>
        <v>200</v>
      </c>
      <c r="AR108" s="458"/>
    </row>
    <row r="109" spans="1:44" ht="11.25">
      <c r="A109" s="416">
        <v>107</v>
      </c>
      <c r="B109" s="473">
        <v>39532</v>
      </c>
      <c r="C109" s="474" t="s">
        <v>118</v>
      </c>
      <c r="D109" s="475" t="s">
        <v>119</v>
      </c>
      <c r="E109" s="475" t="s">
        <v>127</v>
      </c>
      <c r="F109" s="475" t="s">
        <v>2</v>
      </c>
      <c r="G109" s="414">
        <f>VLOOKUP($A109,'Spec Analysis_ScreenSize'!$A$2:$E$142,5,0)</f>
        <v>1.764</v>
      </c>
      <c r="H109" s="476" t="s">
        <v>153</v>
      </c>
      <c r="I109" s="477">
        <v>20</v>
      </c>
      <c r="J109" s="475">
        <v>17</v>
      </c>
      <c r="K109" s="475">
        <v>10.6</v>
      </c>
      <c r="L109" s="246">
        <v>180.2</v>
      </c>
      <c r="M109" s="475"/>
      <c r="N109" s="475" t="s">
        <v>180</v>
      </c>
      <c r="O109" s="475"/>
      <c r="P109" s="475" t="s">
        <v>122</v>
      </c>
      <c r="Q109" s="260"/>
      <c r="R109" s="475" t="s">
        <v>179</v>
      </c>
      <c r="S109" s="475" t="s">
        <v>178</v>
      </c>
      <c r="T109" s="475">
        <v>175</v>
      </c>
      <c r="U109" s="475">
        <v>18</v>
      </c>
      <c r="V109" s="475">
        <v>270.3</v>
      </c>
      <c r="W109" s="475">
        <v>281</v>
      </c>
      <c r="X109" s="475">
        <v>28.4</v>
      </c>
      <c r="Y109" s="475">
        <v>16.8</v>
      </c>
      <c r="Z109" s="475">
        <v>37.2</v>
      </c>
      <c r="AA109" s="475">
        <v>38</v>
      </c>
      <c r="AB109" s="479">
        <v>0.72</v>
      </c>
      <c r="AC109" s="475">
        <v>0.7</v>
      </c>
      <c r="AD109" s="260"/>
      <c r="AE109" s="260"/>
      <c r="AF109" s="260"/>
      <c r="AG109" s="260"/>
      <c r="AH109" s="446">
        <f>data2!$C108+data2!$B108*T109</f>
        <v>29.203040506757876</v>
      </c>
      <c r="AI109" s="446">
        <f t="shared" si="6"/>
        <v>28.4</v>
      </c>
      <c r="AJ109" s="457">
        <f t="shared" si="7"/>
        <v>0.02749852388048587</v>
      </c>
      <c r="AK109" s="446">
        <f>IF(I109&gt;=30,data2!B108*'Proposed Spec Lines'!$E$6+data2!C108,IF(G109&gt;=1.1,data2!B108*'Proposed Spec Lines'!$C$6+data2!C108,data2!B108*'Proposed Spec Lines'!$D$6+data2!C108))</f>
        <v>31.227779769155454</v>
      </c>
      <c r="AL109" s="445">
        <f>IF(I109&gt;=30,'Proposed Spec Lines'!$E$6,IF(G109&gt;=1.1,'Proposed Spec Lines'!$C$6,'Proposed Spec Lines'!$D$6))</f>
        <v>200</v>
      </c>
      <c r="AM109" s="446">
        <f t="shared" si="8"/>
        <v>31.227779769155454</v>
      </c>
      <c r="AN109" s="445">
        <f t="shared" si="9"/>
        <v>200</v>
      </c>
      <c r="AO109" s="446">
        <f>IF(O109="Y",'Proposed Spec Lines'!$G$6*AM109+'Proposed Spec Lines'!$G$5*Y109,AM109)</f>
        <v>31.227779769155454</v>
      </c>
      <c r="AP109" s="445">
        <f>IF(O109="Y",'Proposed Spec Lines'!$G$6*AN109+'Proposed Spec Lines'!$G$5*U109,AN109)</f>
        <v>200</v>
      </c>
      <c r="AR109" s="458"/>
    </row>
    <row r="110" spans="1:44" ht="11.25">
      <c r="A110" s="416">
        <v>108</v>
      </c>
      <c r="B110" s="473">
        <v>39532</v>
      </c>
      <c r="C110" s="474" t="s">
        <v>118</v>
      </c>
      <c r="D110" s="475" t="s">
        <v>119</v>
      </c>
      <c r="E110" s="475" t="s">
        <v>127</v>
      </c>
      <c r="F110" s="475" t="s">
        <v>1</v>
      </c>
      <c r="G110" s="414">
        <f>VLOOKUP($A110,'Spec Analysis_ScreenSize'!$A$2:$E$142,5,0)</f>
        <v>2.304</v>
      </c>
      <c r="H110" s="476" t="s">
        <v>153</v>
      </c>
      <c r="I110" s="477">
        <v>24</v>
      </c>
      <c r="J110" s="475">
        <v>20.4</v>
      </c>
      <c r="K110" s="475">
        <v>12.7</v>
      </c>
      <c r="L110" s="246">
        <v>259.08</v>
      </c>
      <c r="M110" s="475"/>
      <c r="N110" s="475" t="s">
        <v>180</v>
      </c>
      <c r="O110" s="475"/>
      <c r="P110" s="475" t="s">
        <v>122</v>
      </c>
      <c r="Q110" s="260"/>
      <c r="R110" s="475" t="s">
        <v>136</v>
      </c>
      <c r="S110" s="475" t="s">
        <v>178</v>
      </c>
      <c r="T110" s="475">
        <v>175</v>
      </c>
      <c r="U110" s="475">
        <v>60.4</v>
      </c>
      <c r="V110" s="475">
        <v>406.3</v>
      </c>
      <c r="W110" s="475">
        <v>447.5</v>
      </c>
      <c r="X110" s="475">
        <v>42.5</v>
      </c>
      <c r="Y110" s="475">
        <v>33.3</v>
      </c>
      <c r="Z110" s="475">
        <v>74.9</v>
      </c>
      <c r="AA110" s="475">
        <v>75.7</v>
      </c>
      <c r="AB110" s="475">
        <v>0.6</v>
      </c>
      <c r="AC110" s="475">
        <v>0.48</v>
      </c>
      <c r="AD110" s="260"/>
      <c r="AE110" s="260"/>
      <c r="AF110" s="260"/>
      <c r="AG110" s="260"/>
      <c r="AH110" s="446">
        <f>data2!$C109+data2!$B109*T110</f>
        <v>45.164532691438154</v>
      </c>
      <c r="AI110" s="446">
        <f t="shared" si="6"/>
        <v>42.5</v>
      </c>
      <c r="AJ110" s="457">
        <f t="shared" si="7"/>
        <v>0.05899613109344249</v>
      </c>
      <c r="AK110" s="446">
        <f>IF(I110&gt;=30,data2!B109*'Proposed Spec Lines'!$E$6+data2!C109,IF(G110&gt;=1.1,data2!B109*'Proposed Spec Lines'!$C$6+data2!C109,data2!B109*'Proposed Spec Lines'!$D$6+data2!C109))</f>
        <v>48.10273086938313</v>
      </c>
      <c r="AL110" s="445">
        <f>IF(I110&gt;=30,'Proposed Spec Lines'!$E$6,IF(G110&gt;=1.1,'Proposed Spec Lines'!$C$6,'Proposed Spec Lines'!$D$6))</f>
        <v>200</v>
      </c>
      <c r="AM110" s="446">
        <f t="shared" si="8"/>
        <v>48.10273086938313</v>
      </c>
      <c r="AN110" s="445">
        <f t="shared" si="9"/>
        <v>200</v>
      </c>
      <c r="AO110" s="446">
        <f>IF(O110="Y",'Proposed Spec Lines'!$G$6*AM110+'Proposed Spec Lines'!$G$5*Y110,AM110)</f>
        <v>48.10273086938313</v>
      </c>
      <c r="AP110" s="445">
        <f>IF(O110="Y",'Proposed Spec Lines'!$G$6*AN110+'Proposed Spec Lines'!$G$5*U110,AN110)</f>
        <v>200</v>
      </c>
      <c r="AR110" s="458"/>
    </row>
    <row r="111" spans="1:44" ht="11.25">
      <c r="A111" s="447">
        <v>109</v>
      </c>
      <c r="B111" s="277">
        <v>39535</v>
      </c>
      <c r="C111" s="258" t="s">
        <v>118</v>
      </c>
      <c r="D111" s="258" t="s">
        <v>126</v>
      </c>
      <c r="E111" s="247"/>
      <c r="F111" s="247" t="s">
        <v>14</v>
      </c>
      <c r="G111" s="414">
        <f>1024*768/10^6</f>
        <v>0.786432</v>
      </c>
      <c r="H111" s="259" t="s">
        <v>151</v>
      </c>
      <c r="I111" s="387">
        <v>16.06</v>
      </c>
      <c r="J111" s="269">
        <v>14.66929133858268</v>
      </c>
      <c r="K111" s="269">
        <v>11.649606299212598</v>
      </c>
      <c r="L111" s="246">
        <v>170.89146878293758</v>
      </c>
      <c r="M111" s="247" t="s">
        <v>141</v>
      </c>
      <c r="N111" s="247" t="s">
        <v>132</v>
      </c>
      <c r="O111" s="247" t="s">
        <v>122</v>
      </c>
      <c r="P111" s="247" t="s">
        <v>123</v>
      </c>
      <c r="Q111" s="247" t="s">
        <v>123</v>
      </c>
      <c r="R111" s="247"/>
      <c r="S111" s="247" t="s">
        <v>132</v>
      </c>
      <c r="T111" s="247">
        <v>99</v>
      </c>
      <c r="U111" s="247">
        <v>86.6</v>
      </c>
      <c r="V111" s="247">
        <v>90.6</v>
      </c>
      <c r="W111" s="247">
        <v>99</v>
      </c>
      <c r="X111" s="247">
        <v>53.6</v>
      </c>
      <c r="Y111" s="247">
        <v>50.9</v>
      </c>
      <c r="Z111" s="247">
        <v>53.3</v>
      </c>
      <c r="AA111" s="247" t="s">
        <v>182</v>
      </c>
      <c r="AB111" s="247">
        <v>1.1</v>
      </c>
      <c r="AC111" s="247">
        <v>0</v>
      </c>
      <c r="AD111" s="247"/>
      <c r="AE111" s="247"/>
      <c r="AF111" s="247"/>
      <c r="AG111" s="247"/>
      <c r="AH111" s="446">
        <f>data2!$C110+data2!$B110*T111</f>
        <v>53.91557922769633</v>
      </c>
      <c r="AI111" s="446">
        <f t="shared" si="6"/>
        <v>53.6</v>
      </c>
      <c r="AJ111" s="457">
        <f t="shared" si="7"/>
        <v>0.005853210374752183</v>
      </c>
      <c r="AK111" s="446">
        <f>IF(I111&gt;=30,data2!B110*'Proposed Spec Lines'!$E$6+data2!C110,IF(G111&gt;=1.1,data2!B110*'Proposed Spec Lines'!$C$6+data2!C110,data2!B110*'Proposed Spec Lines'!$D$6+data2!C110))</f>
        <v>68.33635153129066</v>
      </c>
      <c r="AL111" s="445">
        <f>T111</f>
        <v>99</v>
      </c>
      <c r="AM111" s="446">
        <f>X111</f>
        <v>53.6</v>
      </c>
      <c r="AN111" s="445">
        <f t="shared" si="9"/>
        <v>99</v>
      </c>
      <c r="AO111" s="446">
        <f>IF(O111="Y",'Proposed Spec Lines'!$G$6*AM111+'Proposed Spec Lines'!$G$5*Y111,AM111)</f>
        <v>53.06</v>
      </c>
      <c r="AP111" s="445">
        <f>IF(O111="Y",'Proposed Spec Lines'!$G$6*AN111+'Proposed Spec Lines'!$G$5*U111,AN111)</f>
        <v>96.52000000000001</v>
      </c>
      <c r="AR111" s="458"/>
    </row>
    <row r="112" spans="1:44" ht="11.25">
      <c r="A112" s="416">
        <v>110</v>
      </c>
      <c r="B112" s="296">
        <v>39535</v>
      </c>
      <c r="C112" s="243" t="s">
        <v>118</v>
      </c>
      <c r="D112" s="258" t="s">
        <v>126</v>
      </c>
      <c r="E112" s="242"/>
      <c r="F112" s="242" t="s">
        <v>14</v>
      </c>
      <c r="G112" s="414">
        <f>1024*768/10^6</f>
        <v>0.786432</v>
      </c>
      <c r="H112" s="245" t="s">
        <v>151</v>
      </c>
      <c r="I112" s="388">
        <v>16.06</v>
      </c>
      <c r="J112" s="268">
        <v>14.66929133858268</v>
      </c>
      <c r="K112" s="268">
        <v>11.649606299212598</v>
      </c>
      <c r="L112" s="246">
        <v>170.89146878293758</v>
      </c>
      <c r="M112" s="247" t="s">
        <v>141</v>
      </c>
      <c r="N112" s="247" t="s">
        <v>132</v>
      </c>
      <c r="O112" s="242" t="s">
        <v>122</v>
      </c>
      <c r="P112" s="242" t="s">
        <v>123</v>
      </c>
      <c r="Q112" s="242" t="s">
        <v>123</v>
      </c>
      <c r="R112" s="242"/>
      <c r="S112" s="242" t="s">
        <v>132</v>
      </c>
      <c r="T112" s="242">
        <v>99</v>
      </c>
      <c r="U112" s="242">
        <v>86.6</v>
      </c>
      <c r="V112" s="242">
        <v>90.6</v>
      </c>
      <c r="W112" s="242">
        <v>99</v>
      </c>
      <c r="X112" s="242">
        <v>53.6</v>
      </c>
      <c r="Y112" s="242">
        <v>50.9</v>
      </c>
      <c r="Z112" s="242">
        <v>53.3</v>
      </c>
      <c r="AA112" s="242" t="s">
        <v>182</v>
      </c>
      <c r="AB112" s="242">
        <v>1.1</v>
      </c>
      <c r="AC112" s="242">
        <v>0</v>
      </c>
      <c r="AD112" s="260"/>
      <c r="AE112" s="260"/>
      <c r="AF112" s="260"/>
      <c r="AG112" s="260"/>
      <c r="AH112" s="446">
        <f>data2!$C111+data2!$B111*T112</f>
        <v>53.91557922769633</v>
      </c>
      <c r="AI112" s="446">
        <f t="shared" si="6"/>
        <v>53.6</v>
      </c>
      <c r="AJ112" s="457">
        <f t="shared" si="7"/>
        <v>0.005853210374752183</v>
      </c>
      <c r="AK112" s="446">
        <f>IF(I112&gt;=30,data2!B111*'Proposed Spec Lines'!$E$6+data2!C111,IF(G112&gt;=1.1,data2!B111*'Proposed Spec Lines'!$C$6+data2!C111,data2!B111*'Proposed Spec Lines'!$D$6+data2!C111))</f>
        <v>68.33635153129066</v>
      </c>
      <c r="AL112" s="445">
        <f>T112</f>
        <v>99</v>
      </c>
      <c r="AM112" s="446">
        <f>X112</f>
        <v>53.6</v>
      </c>
      <c r="AN112" s="445">
        <f t="shared" si="9"/>
        <v>99</v>
      </c>
      <c r="AO112" s="446">
        <f>IF(O112="Y",'Proposed Spec Lines'!$G$6*AM112+'Proposed Spec Lines'!$G$5*Y112,AM112)</f>
        <v>53.06</v>
      </c>
      <c r="AP112" s="445">
        <f>IF(O112="Y",'Proposed Spec Lines'!$G$6*AN112+'Proposed Spec Lines'!$G$5*U112,AN112)</f>
        <v>96.52000000000001</v>
      </c>
      <c r="AR112" s="458"/>
    </row>
    <row r="113" spans="1:44" s="421" customFormat="1" ht="11.25">
      <c r="A113" s="416">
        <v>111</v>
      </c>
      <c r="B113" s="278">
        <v>39503</v>
      </c>
      <c r="C113" s="281" t="s">
        <v>118</v>
      </c>
      <c r="D113" s="244" t="s">
        <v>119</v>
      </c>
      <c r="E113" s="280" t="s">
        <v>127</v>
      </c>
      <c r="F113" s="280" t="s">
        <v>4</v>
      </c>
      <c r="G113" s="414">
        <f>VLOOKUP($A113,'Spec Analysis_ScreenSize'!$A$2:$E$142,5,0)</f>
        <v>1.296</v>
      </c>
      <c r="H113" s="282">
        <v>0.6736111111111112</v>
      </c>
      <c r="I113" s="389">
        <v>17</v>
      </c>
      <c r="J113" s="297">
        <v>367.2</v>
      </c>
      <c r="K113" s="283">
        <v>229.5</v>
      </c>
      <c r="L113" s="246">
        <v>84272.4</v>
      </c>
      <c r="M113" s="279" t="s">
        <v>141</v>
      </c>
      <c r="N113" s="279" t="s">
        <v>132</v>
      </c>
      <c r="O113" s="280" t="s">
        <v>122</v>
      </c>
      <c r="P113" s="280" t="s">
        <v>122</v>
      </c>
      <c r="Q113" s="280"/>
      <c r="R113" s="280" t="s">
        <v>136</v>
      </c>
      <c r="S113" s="280"/>
      <c r="T113" s="280">
        <v>175</v>
      </c>
      <c r="U113" s="280"/>
      <c r="V113" s="280">
        <v>225</v>
      </c>
      <c r="W113" s="280">
        <v>300</v>
      </c>
      <c r="X113" s="280">
        <v>18.4</v>
      </c>
      <c r="Y113" s="280"/>
      <c r="Z113" s="280">
        <v>21.5</v>
      </c>
      <c r="AA113" s="280">
        <v>26</v>
      </c>
      <c r="AB113" s="280">
        <v>0.64</v>
      </c>
      <c r="AC113" s="280">
        <v>0.56</v>
      </c>
      <c r="AD113" s="279" t="s">
        <v>128</v>
      </c>
      <c r="AE113" s="279"/>
      <c r="AF113" s="279"/>
      <c r="AG113" s="279"/>
      <c r="AH113" s="422">
        <f>data2!$C112+data2!$B112*T113</f>
        <v>18.423684210526332</v>
      </c>
      <c r="AI113" s="422">
        <f t="shared" si="6"/>
        <v>18.4</v>
      </c>
      <c r="AJ113" s="423">
        <f t="shared" si="7"/>
        <v>0.001285530638481178</v>
      </c>
      <c r="AK113" s="422">
        <f>IF(I113&gt;=30,data2!B112*'Proposed Spec Lines'!$E$6+data2!C112,IF(G113&gt;=1.1,data2!B112*'Proposed Spec Lines'!$C$6+data2!C112,data2!B112*'Proposed Spec Lines'!$D$6+data2!C112))</f>
        <v>19.942105263157906</v>
      </c>
      <c r="AL113" s="424">
        <f>IF(I113&gt;=30,'Proposed Spec Lines'!$E$6,IF(G113&gt;=1.1,'Proposed Spec Lines'!$C$6,'Proposed Spec Lines'!$D$6))</f>
        <v>200</v>
      </c>
      <c r="AM113" s="422">
        <f t="shared" si="8"/>
        <v>19.942105263157906</v>
      </c>
      <c r="AN113" s="424">
        <f t="shared" si="9"/>
        <v>200</v>
      </c>
      <c r="AO113" s="446">
        <f>IF(O113="Y",'Proposed Spec Lines'!$G$6*AM113+'Proposed Spec Lines'!$G$5*Y113,AM113)</f>
        <v>15.953684210526326</v>
      </c>
      <c r="AP113" s="445">
        <f>IF(O113="Y",'Proposed Spec Lines'!$G$6*AN113+'Proposed Spec Lines'!$G$5*U113,AN113)</f>
        <v>160</v>
      </c>
      <c r="AR113" s="425"/>
    </row>
    <row r="114" spans="1:44" ht="11.25">
      <c r="A114" s="447">
        <v>112</v>
      </c>
      <c r="B114" s="278">
        <v>39503</v>
      </c>
      <c r="C114" s="281" t="s">
        <v>118</v>
      </c>
      <c r="D114" s="244" t="s">
        <v>119</v>
      </c>
      <c r="E114" s="280" t="s">
        <v>127</v>
      </c>
      <c r="F114" s="280" t="s">
        <v>4</v>
      </c>
      <c r="G114" s="414">
        <f>VLOOKUP($A114,'Spec Analysis_ScreenSize'!$A$2:$E$142,5,0)</f>
        <v>1.296</v>
      </c>
      <c r="H114" s="282">
        <v>0.6736111111111112</v>
      </c>
      <c r="I114" s="389">
        <v>19</v>
      </c>
      <c r="J114" s="297">
        <v>410.4</v>
      </c>
      <c r="K114" s="283">
        <v>256.5</v>
      </c>
      <c r="L114" s="246">
        <v>105267.6</v>
      </c>
      <c r="M114" s="279" t="s">
        <v>141</v>
      </c>
      <c r="N114" s="279" t="s">
        <v>132</v>
      </c>
      <c r="O114" s="280"/>
      <c r="P114" s="280" t="s">
        <v>122</v>
      </c>
      <c r="Q114" s="280"/>
      <c r="R114" s="280" t="s">
        <v>136</v>
      </c>
      <c r="S114" s="280"/>
      <c r="T114" s="280">
        <v>175</v>
      </c>
      <c r="U114" s="280"/>
      <c r="V114" s="280"/>
      <c r="W114" s="280">
        <v>300</v>
      </c>
      <c r="X114" s="280">
        <v>27.9</v>
      </c>
      <c r="Y114" s="280"/>
      <c r="Z114" s="280">
        <v>31</v>
      </c>
      <c r="AA114" s="280">
        <v>37</v>
      </c>
      <c r="AB114" s="280">
        <v>1.56</v>
      </c>
      <c r="AC114" s="280">
        <v>0.74</v>
      </c>
      <c r="AD114" s="279" t="s">
        <v>128</v>
      </c>
      <c r="AE114" s="279"/>
      <c r="AF114" s="279"/>
      <c r="AG114" s="279"/>
      <c r="AH114" s="446">
        <f>data2!$C113+data2!$B113*T114</f>
        <v>27.900000000000016</v>
      </c>
      <c r="AI114" s="446">
        <f t="shared" si="6"/>
        <v>27.9</v>
      </c>
      <c r="AJ114" s="457">
        <f t="shared" si="7"/>
        <v>6.366870392115589E-16</v>
      </c>
      <c r="AK114" s="446">
        <f>IF(I114&gt;=30,data2!B113*'Proposed Spec Lines'!$E$6+data2!C113,IF(G114&gt;=1.1,data2!B113*'Proposed Spec Lines'!$C$6+data2!C113,data2!B113*'Proposed Spec Lines'!$D$6+data2!C113))</f>
        <v>29.720000000000013</v>
      </c>
      <c r="AL114" s="445">
        <f>IF(I114&gt;=30,'Proposed Spec Lines'!$E$6,IF(G114&gt;=1.1,'Proposed Spec Lines'!$C$6,'Proposed Spec Lines'!$D$6))</f>
        <v>200</v>
      </c>
      <c r="AM114" s="446">
        <f t="shared" si="8"/>
        <v>29.720000000000013</v>
      </c>
      <c r="AN114" s="445">
        <f t="shared" si="9"/>
        <v>200</v>
      </c>
      <c r="AO114" s="446">
        <f>IF(O114="Y",'Proposed Spec Lines'!$G$6*AM114+'Proposed Spec Lines'!$G$5*Y114,AM114)</f>
        <v>29.720000000000013</v>
      </c>
      <c r="AP114" s="445">
        <f>IF(O114="Y",'Proposed Spec Lines'!$G$6*AN114+'Proposed Spec Lines'!$G$5*U114,AN114)</f>
        <v>200</v>
      </c>
      <c r="AR114" s="458"/>
    </row>
    <row r="115" spans="1:44" s="421" customFormat="1" ht="11.25">
      <c r="A115" s="416">
        <v>113</v>
      </c>
      <c r="B115" s="463">
        <v>39530</v>
      </c>
      <c r="C115" s="464" t="s">
        <v>118</v>
      </c>
      <c r="D115" s="464" t="s">
        <v>119</v>
      </c>
      <c r="E115" s="465" t="s">
        <v>127</v>
      </c>
      <c r="F115" s="465" t="s">
        <v>14</v>
      </c>
      <c r="G115" s="414">
        <f>VLOOKUP($A115,'Spec Analysis_ScreenSize'!$A$2:$E$142,5,0)</f>
        <v>0.786432</v>
      </c>
      <c r="H115" s="480" t="s">
        <v>151</v>
      </c>
      <c r="I115" s="467">
        <v>15</v>
      </c>
      <c r="J115" s="481">
        <v>11.973543307086615</v>
      </c>
      <c r="K115" s="481">
        <v>8.980157480314961</v>
      </c>
      <c r="L115" s="246">
        <v>107.524304495009</v>
      </c>
      <c r="M115" s="465"/>
      <c r="N115" s="465" t="s">
        <v>132</v>
      </c>
      <c r="O115" s="465"/>
      <c r="P115" s="465" t="s">
        <v>122</v>
      </c>
      <c r="Q115" s="465"/>
      <c r="R115" s="465"/>
      <c r="S115" s="465" t="s">
        <v>132</v>
      </c>
      <c r="T115" s="465">
        <v>175</v>
      </c>
      <c r="U115" s="465">
        <v>107</v>
      </c>
      <c r="V115" s="465">
        <v>132</v>
      </c>
      <c r="W115" s="465">
        <v>202</v>
      </c>
      <c r="X115" s="465">
        <v>15.7</v>
      </c>
      <c r="Y115" s="465">
        <v>10.2</v>
      </c>
      <c r="Z115" s="465">
        <v>12.1</v>
      </c>
      <c r="AA115" s="465">
        <v>19</v>
      </c>
      <c r="AB115" s="465">
        <v>0.41</v>
      </c>
      <c r="AC115" s="465">
        <v>0.37</v>
      </c>
      <c r="AD115" s="260"/>
      <c r="AE115" s="260"/>
      <c r="AF115" s="260"/>
      <c r="AG115" s="260"/>
      <c r="AH115" s="422">
        <f>data2!$C114+data2!$B114*T115</f>
        <v>16.16579624862081</v>
      </c>
      <c r="AI115" s="422">
        <f t="shared" si="6"/>
        <v>15.7</v>
      </c>
      <c r="AJ115" s="423">
        <f t="shared" si="7"/>
        <v>0.02881369042743883</v>
      </c>
      <c r="AK115" s="422">
        <f>IF(I115&gt;=30,data2!B114*'Proposed Spec Lines'!$E$6+data2!C114,IF(G115&gt;=1.1,data2!B114*'Proposed Spec Lines'!$C$6+data2!C114,data2!B114*'Proposed Spec Lines'!$D$6+data2!C114))</f>
        <v>16.16579624862081</v>
      </c>
      <c r="AL115" s="424">
        <f>IF(I115&gt;=30,'Proposed Spec Lines'!$E$6,IF(G115&gt;=1.1,'Proposed Spec Lines'!$C$6,'Proposed Spec Lines'!$D$6))</f>
        <v>175</v>
      </c>
      <c r="AM115" s="422">
        <f t="shared" si="8"/>
        <v>15.7</v>
      </c>
      <c r="AN115" s="424">
        <f t="shared" si="9"/>
        <v>175</v>
      </c>
      <c r="AO115" s="446">
        <f>IF(O115="Y",'Proposed Spec Lines'!$G$6*AM115+'Proposed Spec Lines'!$G$5*Y115,AM115)</f>
        <v>15.7</v>
      </c>
      <c r="AP115" s="445">
        <f>IF(O115="Y",'Proposed Spec Lines'!$G$6*AN115+'Proposed Spec Lines'!$G$5*U115,AN115)</f>
        <v>175</v>
      </c>
      <c r="AR115" s="425"/>
    </row>
    <row r="116" spans="1:44" s="421" customFormat="1" ht="11.25">
      <c r="A116" s="416">
        <v>114</v>
      </c>
      <c r="B116" s="463">
        <v>39530</v>
      </c>
      <c r="C116" s="464" t="s">
        <v>118</v>
      </c>
      <c r="D116" s="464" t="s">
        <v>119</v>
      </c>
      <c r="E116" s="465" t="s">
        <v>127</v>
      </c>
      <c r="F116" s="465" t="s">
        <v>14</v>
      </c>
      <c r="G116" s="414">
        <f>VLOOKUP($A116,'Spec Analysis_ScreenSize'!$A$2:$E$142,5,0)</f>
        <v>0.786432</v>
      </c>
      <c r="H116" s="480" t="s">
        <v>151</v>
      </c>
      <c r="I116" s="467">
        <v>15</v>
      </c>
      <c r="J116" s="481">
        <v>11.973543307086615</v>
      </c>
      <c r="K116" s="481">
        <v>8.980157480314961</v>
      </c>
      <c r="L116" s="246">
        <v>107.524304495009</v>
      </c>
      <c r="M116" s="465"/>
      <c r="N116" s="465" t="s">
        <v>132</v>
      </c>
      <c r="O116" s="465"/>
      <c r="P116" s="465" t="s">
        <v>122</v>
      </c>
      <c r="Q116" s="465"/>
      <c r="R116" s="465"/>
      <c r="S116" s="465" t="s">
        <v>132</v>
      </c>
      <c r="T116" s="465">
        <v>175</v>
      </c>
      <c r="U116" s="465">
        <v>119</v>
      </c>
      <c r="V116" s="465">
        <v>147</v>
      </c>
      <c r="W116" s="465">
        <v>190</v>
      </c>
      <c r="X116" s="465">
        <v>17.9</v>
      </c>
      <c r="Y116" s="465">
        <v>11.9</v>
      </c>
      <c r="Z116" s="465">
        <v>15.8</v>
      </c>
      <c r="AA116" s="465">
        <v>18.2</v>
      </c>
      <c r="AB116" s="465">
        <v>0.62</v>
      </c>
      <c r="AC116" s="465">
        <v>0.55</v>
      </c>
      <c r="AD116" s="260"/>
      <c r="AE116" s="260"/>
      <c r="AF116" s="260"/>
      <c r="AG116" s="260"/>
      <c r="AH116" s="422">
        <f>data2!$C115+data2!$B115*T116</f>
        <v>17.495625687452407</v>
      </c>
      <c r="AI116" s="422">
        <f t="shared" si="6"/>
        <v>17.9</v>
      </c>
      <c r="AJ116" s="423">
        <f t="shared" si="7"/>
        <v>-0.023112880886426546</v>
      </c>
      <c r="AK116" s="422">
        <f>IF(I116&gt;=30,data2!B115*'Proposed Spec Lines'!$E$6+data2!C115,IF(G116&gt;=1.1,data2!B115*'Proposed Spec Lines'!$C$6+data2!C115,data2!B115*'Proposed Spec Lines'!$D$6+data2!C115))</f>
        <v>17.495625687452407</v>
      </c>
      <c r="AL116" s="424">
        <f>IF(I116&gt;=30,'Proposed Spec Lines'!$E$6,IF(G116&gt;=1.1,'Proposed Spec Lines'!$C$6,'Proposed Spec Lines'!$D$6))</f>
        <v>175</v>
      </c>
      <c r="AM116" s="422">
        <f t="shared" si="8"/>
        <v>17.9</v>
      </c>
      <c r="AN116" s="424">
        <f t="shared" si="9"/>
        <v>175</v>
      </c>
      <c r="AO116" s="446">
        <f>IF(O116="Y",'Proposed Spec Lines'!$G$6*AM116+'Proposed Spec Lines'!$G$5*Y116,AM116)</f>
        <v>17.9</v>
      </c>
      <c r="AP116" s="445">
        <f>IF(O116="Y",'Proposed Spec Lines'!$G$6*AN116+'Proposed Spec Lines'!$G$5*U116,AN116)</f>
        <v>175</v>
      </c>
      <c r="AR116" s="425"/>
    </row>
    <row r="117" spans="1:44" s="421" customFormat="1" ht="11.25">
      <c r="A117" s="447">
        <v>115</v>
      </c>
      <c r="B117" s="463">
        <v>39530</v>
      </c>
      <c r="C117" s="464" t="s">
        <v>118</v>
      </c>
      <c r="D117" s="464" t="s">
        <v>119</v>
      </c>
      <c r="E117" s="465" t="s">
        <v>127</v>
      </c>
      <c r="F117" s="465" t="s">
        <v>24</v>
      </c>
      <c r="G117" s="414">
        <f>VLOOKUP($A117,'Spec Analysis_ScreenSize'!$A$2:$E$142,5,0)</f>
        <v>1.049088</v>
      </c>
      <c r="H117" s="480" t="s">
        <v>153</v>
      </c>
      <c r="I117" s="467">
        <v>15.6</v>
      </c>
      <c r="J117" s="481">
        <v>13.681102362204726</v>
      </c>
      <c r="K117" s="481">
        <v>7.748031496062993</v>
      </c>
      <c r="L117" s="246">
        <v>106.00161200322403</v>
      </c>
      <c r="M117" s="465"/>
      <c r="N117" s="465" t="s">
        <v>132</v>
      </c>
      <c r="O117" s="465"/>
      <c r="P117" s="465" t="s">
        <v>122</v>
      </c>
      <c r="Q117" s="465"/>
      <c r="R117" s="465" t="s">
        <v>183</v>
      </c>
      <c r="S117" s="465" t="s">
        <v>132</v>
      </c>
      <c r="T117" s="465">
        <v>175</v>
      </c>
      <c r="U117" s="465">
        <v>22.4</v>
      </c>
      <c r="V117" s="465">
        <v>153</v>
      </c>
      <c r="W117" s="465">
        <v>223</v>
      </c>
      <c r="X117" s="465">
        <v>13.6</v>
      </c>
      <c r="Y117" s="465">
        <v>6.9</v>
      </c>
      <c r="Z117" s="465">
        <v>13.1</v>
      </c>
      <c r="AA117" s="465">
        <v>16.3</v>
      </c>
      <c r="AB117" s="465">
        <v>0.4</v>
      </c>
      <c r="AC117" s="465">
        <v>0.36</v>
      </c>
      <c r="AD117" s="260"/>
      <c r="AE117" s="260"/>
      <c r="AF117" s="260"/>
      <c r="AG117" s="260"/>
      <c r="AH117" s="422">
        <f>data2!$C116+data2!$B116*T117</f>
        <v>13.93874941260756</v>
      </c>
      <c r="AI117" s="422">
        <f t="shared" si="6"/>
        <v>13.6</v>
      </c>
      <c r="AJ117" s="423">
        <f t="shared" si="7"/>
        <v>0.024302711999482723</v>
      </c>
      <c r="AK117" s="422">
        <f>IF(I117&gt;=30,data2!B116*'Proposed Spec Lines'!$E$6+data2!C116,IF(G117&gt;=1.1,data2!B116*'Proposed Spec Lines'!$C$6+data2!C116,data2!B116*'Proposed Spec Lines'!$D$6+data2!C116))</f>
        <v>13.93874941260756</v>
      </c>
      <c r="AL117" s="424">
        <f>IF(I117&gt;=30,'Proposed Spec Lines'!$E$6,IF(G117&gt;=1.1,'Proposed Spec Lines'!$C$6,'Proposed Spec Lines'!$D$6))</f>
        <v>175</v>
      </c>
      <c r="AM117" s="422">
        <f t="shared" si="8"/>
        <v>13.6</v>
      </c>
      <c r="AN117" s="424">
        <f t="shared" si="9"/>
        <v>175</v>
      </c>
      <c r="AO117" s="446">
        <f>IF(O117="Y",'Proposed Spec Lines'!$G$6*AM117+'Proposed Spec Lines'!$G$5*Y117,AM117)</f>
        <v>13.6</v>
      </c>
      <c r="AP117" s="445">
        <f>IF(O117="Y",'Proposed Spec Lines'!$G$6*AN117+'Proposed Spec Lines'!$G$5*U117,AN117)</f>
        <v>175</v>
      </c>
      <c r="AR117" s="425"/>
    </row>
    <row r="118" spans="1:44" ht="11.25">
      <c r="A118" s="416">
        <v>116</v>
      </c>
      <c r="B118" s="463">
        <v>39530</v>
      </c>
      <c r="C118" s="464" t="s">
        <v>118</v>
      </c>
      <c r="D118" s="464" t="s">
        <v>119</v>
      </c>
      <c r="E118" s="465" t="s">
        <v>127</v>
      </c>
      <c r="F118" s="465" t="s">
        <v>3</v>
      </c>
      <c r="G118" s="414">
        <f>VLOOKUP($A118,'Spec Analysis_ScreenSize'!$A$2:$E$142,5,0)</f>
        <v>1.31072</v>
      </c>
      <c r="H118" s="480" t="s">
        <v>151</v>
      </c>
      <c r="I118" s="467">
        <v>17</v>
      </c>
      <c r="J118" s="481">
        <v>13.303937007874017</v>
      </c>
      <c r="K118" s="481">
        <v>10.643149606299215</v>
      </c>
      <c r="L118" s="246">
        <v>141.5957919275839</v>
      </c>
      <c r="M118" s="465"/>
      <c r="N118" s="465" t="s">
        <v>132</v>
      </c>
      <c r="O118" s="465"/>
      <c r="P118" s="465" t="s">
        <v>122</v>
      </c>
      <c r="Q118" s="465"/>
      <c r="R118" s="465" t="s">
        <v>183</v>
      </c>
      <c r="S118" s="465" t="s">
        <v>132</v>
      </c>
      <c r="T118" s="465">
        <v>175</v>
      </c>
      <c r="U118" s="465">
        <v>71.9</v>
      </c>
      <c r="V118" s="465">
        <v>246</v>
      </c>
      <c r="W118" s="465">
        <v>260</v>
      </c>
      <c r="X118" s="465">
        <v>20.5</v>
      </c>
      <c r="Y118" s="465">
        <v>13.1</v>
      </c>
      <c r="Z118" s="465">
        <v>25.6</v>
      </c>
      <c r="AA118" s="465">
        <v>26.5</v>
      </c>
      <c r="AB118" s="465">
        <v>0.94</v>
      </c>
      <c r="AC118" s="465">
        <v>0.75</v>
      </c>
      <c r="AD118" s="260"/>
      <c r="AE118" s="260"/>
      <c r="AF118" s="260"/>
      <c r="AG118" s="260"/>
      <c r="AH118" s="446">
        <f>data2!$C117+data2!$B117*T118</f>
        <v>20.47995293748211</v>
      </c>
      <c r="AI118" s="446">
        <f t="shared" si="6"/>
        <v>20.5</v>
      </c>
      <c r="AJ118" s="457">
        <f t="shared" si="7"/>
        <v>-0.0009788627239079059</v>
      </c>
      <c r="AK118" s="446">
        <f>IF(I118&gt;=30,data2!B117*'Proposed Spec Lines'!$E$6+data2!C117,IF(G118&gt;=1.1,data2!B117*'Proposed Spec Lines'!$C$6+data2!C117,data2!B117*'Proposed Spec Lines'!$D$6+data2!C117))</f>
        <v>22.26643131653294</v>
      </c>
      <c r="AL118" s="445">
        <f>IF(I118&gt;=30,'Proposed Spec Lines'!$E$6,IF(G118&gt;=1.1,'Proposed Spec Lines'!$C$6,'Proposed Spec Lines'!$D$6))</f>
        <v>200</v>
      </c>
      <c r="AM118" s="446">
        <f t="shared" si="8"/>
        <v>22.26643131653294</v>
      </c>
      <c r="AN118" s="445">
        <f t="shared" si="9"/>
        <v>200</v>
      </c>
      <c r="AO118" s="446">
        <f>IF(O118="Y",'Proposed Spec Lines'!$G$6*AM118+'Proposed Spec Lines'!$G$5*Y118,AM118)</f>
        <v>22.26643131653294</v>
      </c>
      <c r="AP118" s="445">
        <f>IF(O118="Y",'Proposed Spec Lines'!$G$6*AN118+'Proposed Spec Lines'!$G$5*U118,AN118)</f>
        <v>200</v>
      </c>
      <c r="AR118" s="458"/>
    </row>
    <row r="119" spans="1:44" ht="11.25">
      <c r="A119" s="416">
        <v>117</v>
      </c>
      <c r="B119" s="463">
        <v>39530</v>
      </c>
      <c r="C119" s="464" t="s">
        <v>118</v>
      </c>
      <c r="D119" s="464" t="s">
        <v>119</v>
      </c>
      <c r="E119" s="465" t="s">
        <v>127</v>
      </c>
      <c r="F119" s="465" t="s">
        <v>4</v>
      </c>
      <c r="G119" s="414">
        <f>VLOOKUP($A119,'Spec Analysis_ScreenSize'!$A$2:$E$142,5,0)</f>
        <v>1.296</v>
      </c>
      <c r="H119" s="480" t="s">
        <v>147</v>
      </c>
      <c r="I119" s="467">
        <v>19</v>
      </c>
      <c r="J119" s="481">
        <v>16.07244094488189</v>
      </c>
      <c r="K119" s="481">
        <v>10.045275590551181</v>
      </c>
      <c r="L119" s="246">
        <v>161.45209870419743</v>
      </c>
      <c r="M119" s="465"/>
      <c r="N119" s="465" t="s">
        <v>132</v>
      </c>
      <c r="O119" s="465"/>
      <c r="P119" s="465" t="s">
        <v>122</v>
      </c>
      <c r="Q119" s="465"/>
      <c r="R119" s="465"/>
      <c r="S119" s="465" t="s">
        <v>132</v>
      </c>
      <c r="T119" s="465">
        <v>175</v>
      </c>
      <c r="U119" s="465">
        <v>39</v>
      </c>
      <c r="V119" s="465">
        <v>163</v>
      </c>
      <c r="W119" s="465">
        <v>266</v>
      </c>
      <c r="X119" s="465">
        <v>27</v>
      </c>
      <c r="Y119" s="465">
        <v>15.4</v>
      </c>
      <c r="Z119" s="465">
        <v>26.5</v>
      </c>
      <c r="AA119" s="465">
        <v>33.8</v>
      </c>
      <c r="AB119" s="465">
        <v>0.45</v>
      </c>
      <c r="AC119" s="465">
        <v>0.37</v>
      </c>
      <c r="AD119" s="260"/>
      <c r="AE119" s="260"/>
      <c r="AF119" s="260"/>
      <c r="AG119" s="260"/>
      <c r="AH119" s="446">
        <f>data2!$C118+data2!$B118*T119</f>
        <v>26.835835687269594</v>
      </c>
      <c r="AI119" s="446">
        <f t="shared" si="6"/>
        <v>27</v>
      </c>
      <c r="AJ119" s="457">
        <f t="shared" si="7"/>
        <v>-0.006117354221552446</v>
      </c>
      <c r="AK119" s="446">
        <f>IF(I119&gt;=30,data2!B118*'Proposed Spec Lines'!$E$6+data2!C118,IF(G119&gt;=1.1,data2!B118*'Proposed Spec Lines'!$C$6+data2!C118,data2!B118*'Proposed Spec Lines'!$D$6+data2!C118))</f>
        <v>28.872389524584673</v>
      </c>
      <c r="AL119" s="445">
        <f>IF(I119&gt;=30,'Proposed Spec Lines'!$E$6,IF(G119&gt;=1.1,'Proposed Spec Lines'!$C$6,'Proposed Spec Lines'!$D$6))</f>
        <v>200</v>
      </c>
      <c r="AM119" s="446">
        <f t="shared" si="8"/>
        <v>28.872389524584673</v>
      </c>
      <c r="AN119" s="445">
        <f t="shared" si="9"/>
        <v>200</v>
      </c>
      <c r="AO119" s="446">
        <f>IF(O119="Y",'Proposed Spec Lines'!$G$6*AM119+'Proposed Spec Lines'!$G$5*Y119,AM119)</f>
        <v>28.872389524584673</v>
      </c>
      <c r="AP119" s="445">
        <f>IF(O119="Y",'Proposed Spec Lines'!$G$6*AN119+'Proposed Spec Lines'!$G$5*U119,AN119)</f>
        <v>200</v>
      </c>
      <c r="AR119" s="458"/>
    </row>
    <row r="120" spans="1:44" ht="11.25">
      <c r="A120" s="447">
        <v>118</v>
      </c>
      <c r="B120" s="463">
        <v>39530</v>
      </c>
      <c r="C120" s="464" t="s">
        <v>118</v>
      </c>
      <c r="D120" s="464" t="s">
        <v>119</v>
      </c>
      <c r="E120" s="465" t="s">
        <v>127</v>
      </c>
      <c r="F120" s="465" t="s">
        <v>2</v>
      </c>
      <c r="G120" s="414">
        <f>VLOOKUP($A120,'Spec Analysis_ScreenSize'!$A$2:$E$142,5,0)</f>
        <v>1.764</v>
      </c>
      <c r="H120" s="480" t="s">
        <v>147</v>
      </c>
      <c r="I120" s="467">
        <v>22</v>
      </c>
      <c r="J120" s="481">
        <v>18.65196850393701</v>
      </c>
      <c r="K120" s="481">
        <v>11.657480314960631</v>
      </c>
      <c r="L120" s="246">
        <v>217.43495566991137</v>
      </c>
      <c r="M120" s="465"/>
      <c r="N120" s="465" t="s">
        <v>132</v>
      </c>
      <c r="O120" s="465"/>
      <c r="P120" s="465" t="s">
        <v>122</v>
      </c>
      <c r="Q120" s="465"/>
      <c r="R120" s="465"/>
      <c r="S120" s="465" t="s">
        <v>132</v>
      </c>
      <c r="T120" s="465">
        <v>175</v>
      </c>
      <c r="U120" s="465">
        <v>40</v>
      </c>
      <c r="V120" s="465">
        <v>161</v>
      </c>
      <c r="W120" s="465">
        <v>230</v>
      </c>
      <c r="X120" s="465">
        <v>31.8</v>
      </c>
      <c r="Y120" s="465">
        <v>15.8</v>
      </c>
      <c r="Z120" s="465">
        <v>31.2</v>
      </c>
      <c r="AA120" s="465">
        <v>39.4</v>
      </c>
      <c r="AB120" s="465">
        <v>0.52</v>
      </c>
      <c r="AC120" s="465">
        <v>0.44</v>
      </c>
      <c r="AD120" s="260"/>
      <c r="AE120" s="260"/>
      <c r="AF120" s="260"/>
      <c r="AG120" s="260"/>
      <c r="AH120" s="446">
        <f>data2!$C119+data2!$B119*T120</f>
        <v>32.45118781514789</v>
      </c>
      <c r="AI120" s="446">
        <f t="shared" si="6"/>
        <v>31.8</v>
      </c>
      <c r="AJ120" s="457">
        <f t="shared" si="7"/>
        <v>0.020066686583469866</v>
      </c>
      <c r="AK120" s="446">
        <f>IF(I120&gt;=30,data2!B119*'Proposed Spec Lines'!$E$6+data2!C119,IF(G120&gt;=1.1,data2!B119*'Proposed Spec Lines'!$C$6+data2!C119,data2!B119*'Proposed Spec Lines'!$D$6+data2!C119))</f>
        <v>35.537557831262674</v>
      </c>
      <c r="AL120" s="445">
        <f>IF(I120&gt;=30,'Proposed Spec Lines'!$E$6,IF(G120&gt;=1.1,'Proposed Spec Lines'!$C$6,'Proposed Spec Lines'!$D$6))</f>
        <v>200</v>
      </c>
      <c r="AM120" s="446">
        <f t="shared" si="8"/>
        <v>35.537557831262674</v>
      </c>
      <c r="AN120" s="445">
        <f t="shared" si="9"/>
        <v>200</v>
      </c>
      <c r="AO120" s="446">
        <f>IF(O120="Y",'Proposed Spec Lines'!$G$6*AM120+'Proposed Spec Lines'!$G$5*Y120,AM120)</f>
        <v>35.537557831262674</v>
      </c>
      <c r="AP120" s="445">
        <f>IF(O120="Y",'Proposed Spec Lines'!$G$6*AN120+'Proposed Spec Lines'!$G$5*U120,AN120)</f>
        <v>200</v>
      </c>
      <c r="AR120" s="458"/>
    </row>
    <row r="121" spans="1:44" ht="11.25">
      <c r="A121" s="416">
        <v>119</v>
      </c>
      <c r="B121" s="463">
        <v>39532</v>
      </c>
      <c r="C121" s="464" t="s">
        <v>118</v>
      </c>
      <c r="D121" s="464" t="s">
        <v>119</v>
      </c>
      <c r="E121" s="465" t="s">
        <v>127</v>
      </c>
      <c r="F121" s="465" t="s">
        <v>1</v>
      </c>
      <c r="G121" s="414">
        <f>VLOOKUP($A121,'Spec Analysis_ScreenSize'!$A$2:$E$142,5,0)</f>
        <v>2.304</v>
      </c>
      <c r="H121" s="480" t="s">
        <v>147</v>
      </c>
      <c r="I121" s="467">
        <v>25.54</v>
      </c>
      <c r="J121" s="481">
        <v>21.65669291338583</v>
      </c>
      <c r="K121" s="481">
        <v>13.535433070866143</v>
      </c>
      <c r="L121" s="246">
        <v>293.13271746543495</v>
      </c>
      <c r="M121" s="465"/>
      <c r="N121" s="465" t="s">
        <v>132</v>
      </c>
      <c r="O121" s="465"/>
      <c r="P121" s="465" t="s">
        <v>122</v>
      </c>
      <c r="Q121" s="465"/>
      <c r="R121" s="465"/>
      <c r="S121" s="465" t="s">
        <v>132</v>
      </c>
      <c r="T121" s="465">
        <v>175</v>
      </c>
      <c r="U121" s="465">
        <v>45</v>
      </c>
      <c r="V121" s="465">
        <v>360</v>
      </c>
      <c r="W121" s="465">
        <v>480</v>
      </c>
      <c r="X121" s="465">
        <v>45.9</v>
      </c>
      <c r="Y121" s="465">
        <v>36</v>
      </c>
      <c r="Z121" s="465">
        <v>84.5</v>
      </c>
      <c r="AA121" s="465">
        <v>90.5</v>
      </c>
      <c r="AB121" s="465">
        <v>0.55</v>
      </c>
      <c r="AC121" s="465">
        <v>0.27</v>
      </c>
      <c r="AD121" s="260"/>
      <c r="AE121" s="260"/>
      <c r="AF121" s="260"/>
      <c r="AG121" s="260"/>
      <c r="AH121" s="461">
        <f>data2!$C120+data2!$B120*T121</f>
        <v>51.794932885906036</v>
      </c>
      <c r="AI121" s="461">
        <f t="shared" si="6"/>
        <v>45.9</v>
      </c>
      <c r="AJ121" s="462">
        <f t="shared" si="7"/>
        <v>0.113812926428371</v>
      </c>
      <c r="AK121" s="446">
        <f>IF(I121&gt;=30,data2!B120*'Proposed Spec Lines'!$E$6+data2!C120,IF(G121&gt;=1.1,data2!B120*'Proposed Spec Lines'!$C$6+data2!C120,data2!B120*'Proposed Spec Lines'!$D$6+data2!C120))</f>
        <v>55.24772930648769</v>
      </c>
      <c r="AL121" s="445">
        <f>IF(I121&gt;=30,'Proposed Spec Lines'!$E$6,IF(G121&gt;=1.1,'Proposed Spec Lines'!$C$6,'Proposed Spec Lines'!$D$6))</f>
        <v>200</v>
      </c>
      <c r="AM121" s="446">
        <f t="shared" si="8"/>
        <v>55.24772930648769</v>
      </c>
      <c r="AN121" s="445">
        <f t="shared" si="9"/>
        <v>200</v>
      </c>
      <c r="AO121" s="446">
        <f>IF(O121="Y",'Proposed Spec Lines'!$G$6*AM121+'Proposed Spec Lines'!$G$5*Y121,AM121)</f>
        <v>55.24772930648769</v>
      </c>
      <c r="AP121" s="445">
        <f>IF(O121="Y",'Proposed Spec Lines'!$G$6*AN121+'Proposed Spec Lines'!$G$5*U121,AN121)</f>
        <v>200</v>
      </c>
      <c r="AR121" s="458"/>
    </row>
    <row r="122" spans="1:44" ht="11.25">
      <c r="A122" s="416">
        <v>120</v>
      </c>
      <c r="B122" s="463">
        <v>39530</v>
      </c>
      <c r="C122" s="464" t="s">
        <v>118</v>
      </c>
      <c r="D122" s="464" t="s">
        <v>119</v>
      </c>
      <c r="E122" s="465" t="s">
        <v>127</v>
      </c>
      <c r="F122" s="465" t="s">
        <v>2</v>
      </c>
      <c r="G122" s="414">
        <f>VLOOKUP($A122,'Spec Analysis_ScreenSize'!$A$2:$E$142,5,0)</f>
        <v>1.764</v>
      </c>
      <c r="H122" s="480" t="s">
        <v>147</v>
      </c>
      <c r="I122" s="467">
        <v>20.1</v>
      </c>
      <c r="J122" s="481">
        <v>17.06456692913386</v>
      </c>
      <c r="K122" s="481">
        <v>10.665354330708661</v>
      </c>
      <c r="L122" s="246">
        <v>181.9996527993056</v>
      </c>
      <c r="M122" s="465"/>
      <c r="N122" s="465" t="s">
        <v>132</v>
      </c>
      <c r="O122" s="465"/>
      <c r="P122" s="465" t="s">
        <v>122</v>
      </c>
      <c r="Q122" s="465"/>
      <c r="R122" s="465" t="s">
        <v>183</v>
      </c>
      <c r="S122" s="465" t="s">
        <v>132</v>
      </c>
      <c r="T122" s="465">
        <v>175</v>
      </c>
      <c r="U122" s="465">
        <v>50</v>
      </c>
      <c r="V122" s="465">
        <v>221</v>
      </c>
      <c r="W122" s="465">
        <v>293</v>
      </c>
      <c r="X122" s="465">
        <v>26.6</v>
      </c>
      <c r="Y122" s="465">
        <v>19.8</v>
      </c>
      <c r="Z122" s="465">
        <v>34.1</v>
      </c>
      <c r="AA122" s="465">
        <v>36.4</v>
      </c>
      <c r="AB122" s="465">
        <v>0.33</v>
      </c>
      <c r="AC122" s="465">
        <v>0.32</v>
      </c>
      <c r="AD122" s="260"/>
      <c r="AE122" s="260"/>
      <c r="AF122" s="260"/>
      <c r="AG122" s="260"/>
      <c r="AH122" s="446">
        <f>data2!$C121+data2!$B121*T122</f>
        <v>28.524083619015656</v>
      </c>
      <c r="AI122" s="446">
        <f t="shared" si="6"/>
        <v>26.6</v>
      </c>
      <c r="AJ122" s="457">
        <f t="shared" si="7"/>
        <v>0.06745470405692398</v>
      </c>
      <c r="AK122" s="446">
        <f>IF(I122&gt;=30,data2!B121*'Proposed Spec Lines'!$E$6+data2!C121,IF(G122&gt;=1.1,data2!B121*'Proposed Spec Lines'!$C$6+data2!C121,data2!B121*'Proposed Spec Lines'!$D$6+data2!C121))</f>
        <v>30.321305108719105</v>
      </c>
      <c r="AL122" s="445">
        <f>IF(I122&gt;=30,'Proposed Spec Lines'!$E$6,IF(G122&gt;=1.1,'Proposed Spec Lines'!$C$6,'Proposed Spec Lines'!$D$6))</f>
        <v>200</v>
      </c>
      <c r="AM122" s="446">
        <f t="shared" si="8"/>
        <v>30.321305108719105</v>
      </c>
      <c r="AN122" s="445">
        <f t="shared" si="9"/>
        <v>200</v>
      </c>
      <c r="AO122" s="446">
        <f>IF(O122="Y",'Proposed Spec Lines'!$G$6*AM122+'Proposed Spec Lines'!$G$5*Y122,AM122)</f>
        <v>30.321305108719105</v>
      </c>
      <c r="AP122" s="445">
        <f>IF(O122="Y",'Proposed Spec Lines'!$G$6*AN122+'Proposed Spec Lines'!$G$5*U122,AN122)</f>
        <v>200</v>
      </c>
      <c r="AR122" s="458"/>
    </row>
    <row r="123" spans="1:44" ht="11.25">
      <c r="A123" s="447">
        <v>121</v>
      </c>
      <c r="B123" s="463">
        <v>39530</v>
      </c>
      <c r="C123" s="464" t="s">
        <v>118</v>
      </c>
      <c r="D123" s="464" t="s">
        <v>119</v>
      </c>
      <c r="E123" s="465" t="s">
        <v>127</v>
      </c>
      <c r="F123" s="465" t="s">
        <v>2</v>
      </c>
      <c r="G123" s="414">
        <f>VLOOKUP($A123,'Spec Analysis_ScreenSize'!$A$2:$E$142,5,0)</f>
        <v>1.764</v>
      </c>
      <c r="H123" s="480" t="s">
        <v>147</v>
      </c>
      <c r="I123" s="467">
        <v>22</v>
      </c>
      <c r="J123" s="481">
        <v>18.65196850393701</v>
      </c>
      <c r="K123" s="481">
        <v>11.657480314960631</v>
      </c>
      <c r="L123" s="246">
        <v>217.43495566991137</v>
      </c>
      <c r="M123" s="465"/>
      <c r="N123" s="465" t="s">
        <v>132</v>
      </c>
      <c r="O123" s="465"/>
      <c r="P123" s="465" t="s">
        <v>122</v>
      </c>
      <c r="Q123" s="465"/>
      <c r="R123" s="465" t="s">
        <v>183</v>
      </c>
      <c r="S123" s="465" t="s">
        <v>132</v>
      </c>
      <c r="T123" s="465">
        <v>175</v>
      </c>
      <c r="U123" s="465">
        <v>47</v>
      </c>
      <c r="V123" s="465">
        <v>187</v>
      </c>
      <c r="W123" s="465">
        <v>298</v>
      </c>
      <c r="X123" s="465">
        <v>29.4</v>
      </c>
      <c r="Y123" s="465">
        <v>17.2</v>
      </c>
      <c r="Z123" s="465">
        <v>34.6</v>
      </c>
      <c r="AA123" s="465">
        <v>42.2</v>
      </c>
      <c r="AB123" s="465">
        <v>0.49</v>
      </c>
      <c r="AC123" s="465">
        <v>0.4</v>
      </c>
      <c r="AD123" s="260"/>
      <c r="AE123" s="260"/>
      <c r="AF123" s="260"/>
      <c r="AG123" s="260"/>
      <c r="AH123" s="446">
        <f>data2!$C122+data2!$B122*T123</f>
        <v>30.673685208446894</v>
      </c>
      <c r="AI123" s="446">
        <f t="shared" si="6"/>
        <v>29.4</v>
      </c>
      <c r="AJ123" s="457">
        <f t="shared" si="7"/>
        <v>0.04152370997457291</v>
      </c>
      <c r="AK123" s="446">
        <f>IF(I123&gt;=30,data2!B122*'Proposed Spec Lines'!$E$6+data2!C122,IF(G123&gt;=1.1,data2!B122*'Proposed Spec Lines'!$C$6+data2!C122,data2!B122*'Proposed Spec Lines'!$D$6+data2!C122))</f>
        <v>33.19246794491977</v>
      </c>
      <c r="AL123" s="445">
        <f>IF(I123&gt;=30,'Proposed Spec Lines'!$E$6,IF(G123&gt;=1.1,'Proposed Spec Lines'!$C$6,'Proposed Spec Lines'!$D$6))</f>
        <v>200</v>
      </c>
      <c r="AM123" s="446">
        <f t="shared" si="8"/>
        <v>33.19246794491977</v>
      </c>
      <c r="AN123" s="445">
        <f t="shared" si="9"/>
        <v>200</v>
      </c>
      <c r="AO123" s="446">
        <f>IF(O123="Y",'Proposed Spec Lines'!$G$6*AM123+'Proposed Spec Lines'!$G$5*Y123,AM123)</f>
        <v>33.19246794491977</v>
      </c>
      <c r="AP123" s="445">
        <f>IF(O123="Y",'Proposed Spec Lines'!$G$6*AN123+'Proposed Spec Lines'!$G$5*U123,AN123)</f>
        <v>200</v>
      </c>
      <c r="AR123" s="458"/>
    </row>
    <row r="124" spans="1:44" s="421" customFormat="1" ht="11.25">
      <c r="A124" s="416">
        <v>122</v>
      </c>
      <c r="B124" s="286">
        <v>39450</v>
      </c>
      <c r="C124" s="243" t="s">
        <v>118</v>
      </c>
      <c r="D124" s="258" t="s">
        <v>126</v>
      </c>
      <c r="E124" s="242"/>
      <c r="F124" s="242" t="s">
        <v>14</v>
      </c>
      <c r="G124" s="414">
        <f>1024*768/10^6</f>
        <v>0.786432</v>
      </c>
      <c r="H124" s="245">
        <v>0.16875</v>
      </c>
      <c r="I124" s="387">
        <v>16.06</v>
      </c>
      <c r="J124" s="246">
        <v>12.86</v>
      </c>
      <c r="K124" s="246">
        <v>9.67</v>
      </c>
      <c r="L124" s="246">
        <v>124.35619999999999</v>
      </c>
      <c r="M124" s="247"/>
      <c r="N124" s="247" t="s">
        <v>132</v>
      </c>
      <c r="O124" s="242" t="s">
        <v>123</v>
      </c>
      <c r="P124" s="242" t="s">
        <v>123</v>
      </c>
      <c r="Q124" s="242"/>
      <c r="R124" s="242"/>
      <c r="S124" s="242" t="s">
        <v>132</v>
      </c>
      <c r="T124" s="242">
        <v>100</v>
      </c>
      <c r="U124" s="242"/>
      <c r="V124" s="242">
        <v>106</v>
      </c>
      <c r="W124" s="242">
        <v>120</v>
      </c>
      <c r="X124" s="242">
        <v>54.8</v>
      </c>
      <c r="Y124" s="242">
        <v>52.88</v>
      </c>
      <c r="Z124" s="242">
        <v>67.32</v>
      </c>
      <c r="AA124" s="242">
        <v>68.24</v>
      </c>
      <c r="AB124" s="242">
        <v>1.6</v>
      </c>
      <c r="AC124" s="242">
        <v>0.45</v>
      </c>
      <c r="AD124" s="247"/>
      <c r="AE124" s="247"/>
      <c r="AF124" s="247"/>
      <c r="AG124" s="247"/>
      <c r="AH124" s="422">
        <f>data2!$C123+data2!$B123*T124</f>
        <v>58.56050632911398</v>
      </c>
      <c r="AI124" s="422">
        <f t="shared" si="6"/>
        <v>54.8</v>
      </c>
      <c r="AJ124" s="423">
        <f t="shared" si="7"/>
        <v>0.06421574137319923</v>
      </c>
      <c r="AK124" s="422">
        <f>X124</f>
        <v>54.8</v>
      </c>
      <c r="AL124" s="424">
        <v>100</v>
      </c>
      <c r="AM124" s="422">
        <f>X124</f>
        <v>54.8</v>
      </c>
      <c r="AN124" s="424">
        <f>T124</f>
        <v>100</v>
      </c>
      <c r="AO124" s="446">
        <f>IF(O124="Y",'Proposed Spec Lines'!$G$6*AM124+'Proposed Spec Lines'!$G$5*Y124,AM124)</f>
        <v>54.8</v>
      </c>
      <c r="AP124" s="445">
        <f>IF(O124="Y",'Proposed Spec Lines'!$G$6*AN124+'Proposed Spec Lines'!$G$5*U124,AN124)</f>
        <v>100</v>
      </c>
      <c r="AR124" s="425"/>
    </row>
    <row r="125" spans="1:44" s="421" customFormat="1" ht="11.25">
      <c r="A125" s="416">
        <v>123</v>
      </c>
      <c r="B125" s="286">
        <v>39450</v>
      </c>
      <c r="C125" s="243" t="s">
        <v>118</v>
      </c>
      <c r="D125" s="258" t="s">
        <v>126</v>
      </c>
      <c r="E125" s="242"/>
      <c r="F125" s="242" t="s">
        <v>14</v>
      </c>
      <c r="G125" s="414">
        <f>1024*768/10^6</f>
        <v>0.786432</v>
      </c>
      <c r="H125" s="245">
        <v>0.16875</v>
      </c>
      <c r="I125" s="388">
        <v>16.06</v>
      </c>
      <c r="J125" s="246">
        <v>12.86</v>
      </c>
      <c r="K125" s="246">
        <v>9.67</v>
      </c>
      <c r="L125" s="246">
        <v>124.35619999999999</v>
      </c>
      <c r="M125" s="247"/>
      <c r="N125" s="247" t="s">
        <v>132</v>
      </c>
      <c r="O125" s="242" t="s">
        <v>123</v>
      </c>
      <c r="P125" s="242" t="s">
        <v>123</v>
      </c>
      <c r="Q125" s="242"/>
      <c r="R125" s="242"/>
      <c r="S125" s="242" t="s">
        <v>132</v>
      </c>
      <c r="T125" s="242">
        <v>100</v>
      </c>
      <c r="U125" s="242"/>
      <c r="V125" s="242">
        <v>106</v>
      </c>
      <c r="W125" s="242">
        <v>122</v>
      </c>
      <c r="X125" s="242">
        <v>55.1</v>
      </c>
      <c r="Y125" s="242">
        <v>53.17</v>
      </c>
      <c r="Z125" s="242">
        <v>68.43</v>
      </c>
      <c r="AA125" s="242">
        <v>69.53</v>
      </c>
      <c r="AB125" s="242">
        <v>1.65</v>
      </c>
      <c r="AC125" s="242">
        <v>0.42</v>
      </c>
      <c r="AD125" s="247"/>
      <c r="AE125" s="247"/>
      <c r="AF125" s="247"/>
      <c r="AG125" s="247"/>
      <c r="AH125" s="422">
        <f>data2!$C124+data2!$B124*T125</f>
        <v>59.36144329896907</v>
      </c>
      <c r="AI125" s="422">
        <f t="shared" si="6"/>
        <v>55.1</v>
      </c>
      <c r="AJ125" s="423">
        <f t="shared" si="7"/>
        <v>0.07178806750884843</v>
      </c>
      <c r="AK125" s="422">
        <f>X125</f>
        <v>55.1</v>
      </c>
      <c r="AL125" s="424">
        <v>100</v>
      </c>
      <c r="AM125" s="422">
        <f>X125</f>
        <v>55.1</v>
      </c>
      <c r="AN125" s="424">
        <f>T125</f>
        <v>100</v>
      </c>
      <c r="AO125" s="446">
        <f>IF(O125="Y",'Proposed Spec Lines'!$G$6*AM125+'Proposed Spec Lines'!$G$5*Y125,AM125)</f>
        <v>55.1</v>
      </c>
      <c r="AP125" s="445">
        <f>IF(O125="Y",'Proposed Spec Lines'!$G$6*AN125+'Proposed Spec Lines'!$G$5*U125,AN125)</f>
        <v>100</v>
      </c>
      <c r="AR125" s="425"/>
    </row>
    <row r="126" spans="1:44" s="421" customFormat="1" ht="11.25">
      <c r="A126" s="447">
        <v>124</v>
      </c>
      <c r="B126" s="286">
        <v>39450</v>
      </c>
      <c r="C126" s="243" t="s">
        <v>118</v>
      </c>
      <c r="D126" s="258" t="s">
        <v>126</v>
      </c>
      <c r="E126" s="242"/>
      <c r="F126" s="242" t="s">
        <v>20</v>
      </c>
      <c r="G126" s="414">
        <f>800*600/10^6</f>
        <v>0.48</v>
      </c>
      <c r="H126" s="245">
        <v>0.16875</v>
      </c>
      <c r="I126" s="388">
        <v>14.004</v>
      </c>
      <c r="J126" s="246">
        <v>11.204</v>
      </c>
      <c r="K126" s="246">
        <v>8.404</v>
      </c>
      <c r="L126" s="246">
        <v>94.158416</v>
      </c>
      <c r="M126" s="247"/>
      <c r="N126" s="247" t="s">
        <v>132</v>
      </c>
      <c r="O126" s="242" t="s">
        <v>123</v>
      </c>
      <c r="P126" s="242" t="s">
        <v>123</v>
      </c>
      <c r="Q126" s="242"/>
      <c r="R126" s="242"/>
      <c r="S126" s="242" t="s">
        <v>132</v>
      </c>
      <c r="T126" s="242">
        <v>100</v>
      </c>
      <c r="U126" s="242"/>
      <c r="V126" s="242">
        <v>106</v>
      </c>
      <c r="W126" s="242">
        <v>117</v>
      </c>
      <c r="X126" s="242">
        <v>50.3</v>
      </c>
      <c r="Y126" s="242">
        <v>43.53</v>
      </c>
      <c r="Z126" s="242">
        <v>56.39</v>
      </c>
      <c r="AA126" s="242">
        <v>58.38</v>
      </c>
      <c r="AB126" s="242">
        <v>1.55</v>
      </c>
      <c r="AC126" s="242">
        <v>0.45</v>
      </c>
      <c r="AD126" s="247"/>
      <c r="AE126" s="247"/>
      <c r="AF126" s="247"/>
      <c r="AG126" s="247"/>
      <c r="AH126" s="422">
        <f>data2!$C125+data2!$B125*T126</f>
        <v>51.657735426009076</v>
      </c>
      <c r="AI126" s="422">
        <f t="shared" si="6"/>
        <v>50.3</v>
      </c>
      <c r="AJ126" s="423">
        <f t="shared" si="7"/>
        <v>0.026283293582503316</v>
      </c>
      <c r="AK126" s="422">
        <f>X126</f>
        <v>50.3</v>
      </c>
      <c r="AL126" s="424">
        <v>100</v>
      </c>
      <c r="AM126" s="422">
        <f>X126</f>
        <v>50.3</v>
      </c>
      <c r="AN126" s="424">
        <f>T126</f>
        <v>100</v>
      </c>
      <c r="AO126" s="446">
        <f>IF(O126="Y",'Proposed Spec Lines'!$G$6*AM126+'Proposed Spec Lines'!$G$5*Y126,AM126)</f>
        <v>50.3</v>
      </c>
      <c r="AP126" s="445">
        <f>IF(O126="Y",'Proposed Spec Lines'!$G$6*AN126+'Proposed Spec Lines'!$G$5*U126,AN126)</f>
        <v>100</v>
      </c>
      <c r="AR126" s="425"/>
    </row>
    <row r="127" spans="1:44" s="421" customFormat="1" ht="11.25">
      <c r="A127" s="416">
        <v>125</v>
      </c>
      <c r="B127" s="286">
        <v>39450</v>
      </c>
      <c r="C127" s="243" t="s">
        <v>118</v>
      </c>
      <c r="D127" s="258" t="s">
        <v>126</v>
      </c>
      <c r="E127" s="242"/>
      <c r="F127" s="242" t="s">
        <v>14</v>
      </c>
      <c r="G127" s="414">
        <f>1024*768/10^6</f>
        <v>0.786432</v>
      </c>
      <c r="H127" s="245">
        <v>0.16875</v>
      </c>
      <c r="I127" s="388">
        <v>16.06</v>
      </c>
      <c r="J127" s="246">
        <v>12.86</v>
      </c>
      <c r="K127" s="246">
        <v>9.67</v>
      </c>
      <c r="L127" s="246">
        <v>124.35619999999999</v>
      </c>
      <c r="M127" s="247"/>
      <c r="N127" s="247" t="s">
        <v>132</v>
      </c>
      <c r="O127" s="242" t="s">
        <v>123</v>
      </c>
      <c r="P127" s="242" t="s">
        <v>123</v>
      </c>
      <c r="Q127" s="242"/>
      <c r="R127" s="242"/>
      <c r="S127" s="242" t="s">
        <v>132</v>
      </c>
      <c r="T127" s="242">
        <v>100</v>
      </c>
      <c r="U127" s="242"/>
      <c r="V127" s="242">
        <v>106</v>
      </c>
      <c r="W127" s="242">
        <v>120</v>
      </c>
      <c r="X127" s="242">
        <v>54.8</v>
      </c>
      <c r="Y127" s="242">
        <v>52.88</v>
      </c>
      <c r="Z127" s="242">
        <v>67.32</v>
      </c>
      <c r="AA127" s="242">
        <v>68.24</v>
      </c>
      <c r="AB127" s="242">
        <v>1.6</v>
      </c>
      <c r="AC127" s="242">
        <v>0.45</v>
      </c>
      <c r="AD127" s="247"/>
      <c r="AE127" s="247"/>
      <c r="AF127" s="247"/>
      <c r="AG127" s="247"/>
      <c r="AH127" s="422">
        <f>data2!$C126+data2!$B126*T127</f>
        <v>58.56050632911398</v>
      </c>
      <c r="AI127" s="422">
        <f t="shared" si="6"/>
        <v>54.8</v>
      </c>
      <c r="AJ127" s="423">
        <f t="shared" si="7"/>
        <v>0.06421574137319923</v>
      </c>
      <c r="AK127" s="422">
        <f>X127</f>
        <v>54.8</v>
      </c>
      <c r="AL127" s="424">
        <v>100</v>
      </c>
      <c r="AM127" s="422">
        <f>X127</f>
        <v>54.8</v>
      </c>
      <c r="AN127" s="424">
        <f>T127</f>
        <v>100</v>
      </c>
      <c r="AO127" s="446">
        <f>IF(O127="Y",'Proposed Spec Lines'!$G$6*AM127+'Proposed Spec Lines'!$G$5*Y127,AM127)</f>
        <v>54.8</v>
      </c>
      <c r="AP127" s="445">
        <f>IF(O127="Y",'Proposed Spec Lines'!$G$6*AN127+'Proposed Spec Lines'!$G$5*U127,AN127)</f>
        <v>100</v>
      </c>
      <c r="AR127" s="425"/>
    </row>
    <row r="128" spans="1:44" ht="11.25">
      <c r="A128" s="416">
        <v>126</v>
      </c>
      <c r="B128" s="463">
        <v>39530</v>
      </c>
      <c r="C128" s="464" t="s">
        <v>118</v>
      </c>
      <c r="D128" s="464" t="s">
        <v>119</v>
      </c>
      <c r="E128" s="465" t="s">
        <v>127</v>
      </c>
      <c r="F128" s="465" t="s">
        <v>4</v>
      </c>
      <c r="G128" s="414">
        <f>VLOOKUP($A128,'Spec Analysis_ScreenSize'!$A$2:$E$142,5,0)</f>
        <v>1.296</v>
      </c>
      <c r="H128" s="480" t="s">
        <v>147</v>
      </c>
      <c r="I128" s="467">
        <v>19</v>
      </c>
      <c r="J128" s="481">
        <v>16.07244094488189</v>
      </c>
      <c r="K128" s="481">
        <v>10.045275590551181</v>
      </c>
      <c r="L128" s="246">
        <v>161.45209870419743</v>
      </c>
      <c r="M128" s="465"/>
      <c r="N128" s="465" t="s">
        <v>132</v>
      </c>
      <c r="O128" s="465"/>
      <c r="P128" s="465" t="s">
        <v>122</v>
      </c>
      <c r="Q128" s="465"/>
      <c r="R128" s="465"/>
      <c r="S128" s="465" t="s">
        <v>132</v>
      </c>
      <c r="T128" s="465">
        <v>175</v>
      </c>
      <c r="U128" s="465">
        <v>52</v>
      </c>
      <c r="V128" s="465">
        <v>170</v>
      </c>
      <c r="W128" s="465">
        <v>311</v>
      </c>
      <c r="X128" s="465">
        <v>24.3</v>
      </c>
      <c r="Y128" s="465">
        <v>15.4</v>
      </c>
      <c r="Z128" s="465">
        <v>24.1</v>
      </c>
      <c r="AA128" s="465">
        <v>35.3</v>
      </c>
      <c r="AB128" s="465">
        <v>0.4</v>
      </c>
      <c r="AC128" s="465">
        <v>0.34</v>
      </c>
      <c r="AD128" s="260"/>
      <c r="AE128" s="260"/>
      <c r="AF128" s="260"/>
      <c r="AG128" s="260"/>
      <c r="AH128" s="446">
        <f>data2!$C127+data2!$B127*T128</f>
        <v>24.621114051257656</v>
      </c>
      <c r="AI128" s="446">
        <f t="shared" si="6"/>
        <v>24.3</v>
      </c>
      <c r="AJ128" s="457">
        <f t="shared" si="7"/>
        <v>0.013042222646349057</v>
      </c>
      <c r="AK128" s="446">
        <f>IF(I128&gt;=30,data2!B127*'Proposed Spec Lines'!$E$6+data2!C127,IF(G128&gt;=1.1,data2!B127*'Proposed Spec Lines'!$C$6+data2!C127,data2!B127*'Proposed Spec Lines'!$D$6+data2!C127))</f>
        <v>26.544688410536953</v>
      </c>
      <c r="AL128" s="445">
        <f>IF(I128&gt;=30,'Proposed Spec Lines'!$E$6,IF(G128&gt;=1.1,'Proposed Spec Lines'!$C$6,'Proposed Spec Lines'!$D$6))</f>
        <v>200</v>
      </c>
      <c r="AM128" s="446">
        <f t="shared" si="8"/>
        <v>26.544688410536953</v>
      </c>
      <c r="AN128" s="445">
        <f t="shared" si="9"/>
        <v>200</v>
      </c>
      <c r="AO128" s="446">
        <f>IF(O128="Y",'Proposed Spec Lines'!$G$6*AM128+'Proposed Spec Lines'!$G$5*Y128,AM128)</f>
        <v>26.544688410536953</v>
      </c>
      <c r="AP128" s="445">
        <f>IF(O128="Y",'Proposed Spec Lines'!$G$6*AN128+'Proposed Spec Lines'!$G$5*U128,AN128)</f>
        <v>200</v>
      </c>
      <c r="AR128" s="458"/>
    </row>
    <row r="129" spans="1:44" ht="11.25">
      <c r="A129" s="447">
        <v>127</v>
      </c>
      <c r="B129" s="463">
        <v>39530</v>
      </c>
      <c r="C129" s="464" t="s">
        <v>118</v>
      </c>
      <c r="D129" s="464" t="s">
        <v>119</v>
      </c>
      <c r="E129" s="465" t="s">
        <v>127</v>
      </c>
      <c r="F129" s="465" t="s">
        <v>1</v>
      </c>
      <c r="G129" s="414">
        <f>VLOOKUP($A129,'Spec Analysis_ScreenSize'!$A$2:$E$142,5,0)</f>
        <v>2.304</v>
      </c>
      <c r="H129" s="480" t="s">
        <v>153</v>
      </c>
      <c r="I129" s="467">
        <v>24</v>
      </c>
      <c r="J129" s="481">
        <v>20.409448818897637</v>
      </c>
      <c r="K129" s="481">
        <v>12.755905511811024</v>
      </c>
      <c r="L129" s="246">
        <v>260.3410006820014</v>
      </c>
      <c r="M129" s="465"/>
      <c r="N129" s="465" t="s">
        <v>132</v>
      </c>
      <c r="O129" s="465"/>
      <c r="P129" s="465" t="s">
        <v>122</v>
      </c>
      <c r="Q129" s="465"/>
      <c r="R129" s="465"/>
      <c r="S129" s="465" t="s">
        <v>132</v>
      </c>
      <c r="T129" s="465">
        <v>175</v>
      </c>
      <c r="U129" s="465">
        <v>36.6</v>
      </c>
      <c r="V129" s="465">
        <v>284</v>
      </c>
      <c r="W129" s="465">
        <v>554</v>
      </c>
      <c r="X129" s="465">
        <v>37</v>
      </c>
      <c r="Y129" s="465">
        <v>26.4</v>
      </c>
      <c r="Z129" s="465">
        <v>68.4</v>
      </c>
      <c r="AA129" s="465">
        <v>84.5</v>
      </c>
      <c r="AB129" s="465">
        <v>0.78</v>
      </c>
      <c r="AC129" s="465">
        <v>0.72</v>
      </c>
      <c r="AD129" s="260"/>
      <c r="AE129" s="260"/>
      <c r="AF129" s="260"/>
      <c r="AG129" s="260"/>
      <c r="AH129" s="461">
        <f>data2!$C128+data2!$B128*T129</f>
        <v>43.81250951280559</v>
      </c>
      <c r="AI129" s="461">
        <f t="shared" si="6"/>
        <v>37</v>
      </c>
      <c r="AJ129" s="462">
        <f t="shared" si="7"/>
        <v>0.15549233742966537</v>
      </c>
      <c r="AK129" s="446">
        <f>IF(I129&gt;=30,data2!B128*'Proposed Spec Lines'!$E$6+data2!C128,IF(G129&gt;=1.1,data2!B128*'Proposed Spec Lines'!$C$6+data2!C128,data2!B128*'Proposed Spec Lines'!$D$6+data2!C128))</f>
        <v>46.74800450342184</v>
      </c>
      <c r="AL129" s="445">
        <f>IF(I129&gt;=30,'Proposed Spec Lines'!$E$6,IF(G129&gt;=1.1,'Proposed Spec Lines'!$C$6,'Proposed Spec Lines'!$D$6))</f>
        <v>200</v>
      </c>
      <c r="AM129" s="446">
        <f t="shared" si="8"/>
        <v>46.74800450342184</v>
      </c>
      <c r="AN129" s="445">
        <f t="shared" si="9"/>
        <v>200</v>
      </c>
      <c r="AO129" s="446">
        <f>IF(O129="Y",'Proposed Spec Lines'!$G$6*AM129+'Proposed Spec Lines'!$G$5*Y129,AM129)</f>
        <v>46.74800450342184</v>
      </c>
      <c r="AP129" s="445">
        <f>IF(O129="Y",'Proposed Spec Lines'!$G$6*AN129+'Proposed Spec Lines'!$G$5*U129,AN129)</f>
        <v>200</v>
      </c>
      <c r="AR129" s="458"/>
    </row>
    <row r="130" spans="1:44" ht="11.25">
      <c r="A130" s="416">
        <v>128</v>
      </c>
      <c r="B130" s="286">
        <v>39450</v>
      </c>
      <c r="C130" s="243" t="s">
        <v>118</v>
      </c>
      <c r="D130" s="258" t="s">
        <v>126</v>
      </c>
      <c r="E130" s="242"/>
      <c r="F130" s="242" t="s">
        <v>3</v>
      </c>
      <c r="G130" s="414">
        <f>1280*1024/10^6</f>
        <v>1.31072</v>
      </c>
      <c r="H130" s="245">
        <v>0.16875</v>
      </c>
      <c r="I130" s="387">
        <v>16.06</v>
      </c>
      <c r="J130" s="246">
        <v>12.86</v>
      </c>
      <c r="K130" s="246">
        <v>9.67</v>
      </c>
      <c r="L130" s="246">
        <v>124.35619999999999</v>
      </c>
      <c r="M130" s="247"/>
      <c r="N130" s="247" t="s">
        <v>132</v>
      </c>
      <c r="O130" s="242" t="s">
        <v>123</v>
      </c>
      <c r="P130" s="242" t="s">
        <v>123</v>
      </c>
      <c r="Q130" s="242"/>
      <c r="R130" s="242"/>
      <c r="S130" s="242" t="s">
        <v>132</v>
      </c>
      <c r="T130" s="242">
        <v>100</v>
      </c>
      <c r="U130" s="242"/>
      <c r="V130" s="242">
        <v>106</v>
      </c>
      <c r="W130" s="242">
        <v>120</v>
      </c>
      <c r="X130" s="242">
        <v>61.2</v>
      </c>
      <c r="Y130" s="242">
        <v>58.6</v>
      </c>
      <c r="Z130" s="242">
        <v>72.2</v>
      </c>
      <c r="AA130" s="242">
        <v>73.4</v>
      </c>
      <c r="AB130" s="242">
        <v>1.52</v>
      </c>
      <c r="AC130" s="242">
        <v>0.38</v>
      </c>
      <c r="AD130" s="247"/>
      <c r="AE130" s="247"/>
      <c r="AF130" s="247"/>
      <c r="AG130" s="247"/>
      <c r="AH130" s="446">
        <f>data2!$C129+data2!$B129*T130</f>
        <v>64.45189873417718</v>
      </c>
      <c r="AI130" s="446">
        <f t="shared" si="6"/>
        <v>61.2</v>
      </c>
      <c r="AJ130" s="457">
        <f t="shared" si="7"/>
        <v>0.050454661507943706</v>
      </c>
      <c r="AK130" s="422">
        <f>X130</f>
        <v>61.2</v>
      </c>
      <c r="AL130" s="424">
        <v>100</v>
      </c>
      <c r="AM130" s="422">
        <f>X130</f>
        <v>61.2</v>
      </c>
      <c r="AN130" s="424">
        <f>T130</f>
        <v>100</v>
      </c>
      <c r="AO130" s="446">
        <f>IF(O130="Y",'Proposed Spec Lines'!$G$6*AM130+'Proposed Spec Lines'!$G$5*Y130,AM130)</f>
        <v>61.2</v>
      </c>
      <c r="AP130" s="445">
        <f>IF(O130="Y",'Proposed Spec Lines'!$G$6*AN130+'Proposed Spec Lines'!$G$5*U130,AN130)</f>
        <v>100</v>
      </c>
      <c r="AR130" s="458"/>
    </row>
    <row r="131" spans="1:44" ht="15" customHeight="1">
      <c r="A131" s="416">
        <v>129</v>
      </c>
      <c r="B131" s="267">
        <v>39535</v>
      </c>
      <c r="C131" s="243" t="s">
        <v>118</v>
      </c>
      <c r="D131" s="251" t="s">
        <v>119</v>
      </c>
      <c r="E131" s="242" t="s">
        <v>127</v>
      </c>
      <c r="F131" s="242" t="s">
        <v>4</v>
      </c>
      <c r="G131" s="414">
        <f>VLOOKUP($A131,'Spec Analysis_ScreenSize'!$A$2:$E$142,5,0)</f>
        <v>1.296</v>
      </c>
      <c r="H131" s="245">
        <v>0.6736111111111112</v>
      </c>
      <c r="I131" s="388">
        <v>17</v>
      </c>
      <c r="J131" s="268">
        <v>14.456692913385828</v>
      </c>
      <c r="K131" s="268">
        <v>9.035433070866143</v>
      </c>
      <c r="L131" s="246">
        <v>130.6224812449625</v>
      </c>
      <c r="M131" s="247" t="s">
        <v>141</v>
      </c>
      <c r="N131" s="247" t="s">
        <v>184</v>
      </c>
      <c r="O131" s="242" t="s">
        <v>122</v>
      </c>
      <c r="P131" s="242" t="s">
        <v>122</v>
      </c>
      <c r="Q131" s="242" t="s">
        <v>123</v>
      </c>
      <c r="R131" s="242" t="s">
        <v>136</v>
      </c>
      <c r="S131" s="242" t="s">
        <v>132</v>
      </c>
      <c r="T131" s="242">
        <v>175</v>
      </c>
      <c r="U131" s="242">
        <v>60</v>
      </c>
      <c r="V131" s="242">
        <v>195</v>
      </c>
      <c r="W131" s="242">
        <v>255</v>
      </c>
      <c r="X131" s="242">
        <v>16.8</v>
      </c>
      <c r="Y131" s="242">
        <v>10.7</v>
      </c>
      <c r="Z131" s="242">
        <v>17.6</v>
      </c>
      <c r="AA131" s="242">
        <v>20.1</v>
      </c>
      <c r="AB131" s="242">
        <v>0.45</v>
      </c>
      <c r="AC131" s="242">
        <v>0.32</v>
      </c>
      <c r="AD131" s="265"/>
      <c r="AE131" s="265"/>
      <c r="AF131" s="265"/>
      <c r="AG131" s="265"/>
      <c r="AH131" s="446">
        <f>data2!$C130+data2!$B130*T131</f>
        <v>16.482910798122067</v>
      </c>
      <c r="AI131" s="446">
        <f t="shared" si="6"/>
        <v>16.8</v>
      </c>
      <c r="AJ131" s="457">
        <f t="shared" si="7"/>
        <v>-0.01923745179243831</v>
      </c>
      <c r="AK131" s="446">
        <f>IF(I131&gt;=30,data2!B130*'Proposed Spec Lines'!$E$6+data2!C130,IF(G131&gt;=1.1,data2!B130*'Proposed Spec Lines'!$C$6+data2!C130,data2!B130*'Proposed Spec Lines'!$D$6+data2!C130))</f>
        <v>17.70231611893584</v>
      </c>
      <c r="AL131" s="445">
        <f>IF(I131&gt;=30,'Proposed Spec Lines'!$E$6,IF(G131&gt;=1.1,'Proposed Spec Lines'!$C$6,'Proposed Spec Lines'!$D$6))</f>
        <v>200</v>
      </c>
      <c r="AM131" s="446">
        <f t="shared" si="8"/>
        <v>17.70231611893584</v>
      </c>
      <c r="AN131" s="445">
        <f t="shared" si="9"/>
        <v>200</v>
      </c>
      <c r="AO131" s="446">
        <f>IF(O131="Y",'Proposed Spec Lines'!$G$6*AM131+'Proposed Spec Lines'!$G$5*Y131,AM131)</f>
        <v>16.301852895148674</v>
      </c>
      <c r="AP131" s="445">
        <f>IF(O131="Y",'Proposed Spec Lines'!$G$6*AN131+'Proposed Spec Lines'!$G$5*U131,AN131)</f>
        <v>172</v>
      </c>
      <c r="AR131" s="458"/>
    </row>
    <row r="132" spans="1:44" s="421" customFormat="1" ht="11.25">
      <c r="A132" s="447">
        <v>130</v>
      </c>
      <c r="B132" s="277">
        <v>39535</v>
      </c>
      <c r="C132" s="258" t="s">
        <v>118</v>
      </c>
      <c r="D132" s="258" t="s">
        <v>119</v>
      </c>
      <c r="E132" s="247" t="s">
        <v>127</v>
      </c>
      <c r="F132" s="247" t="s">
        <v>14</v>
      </c>
      <c r="G132" s="414">
        <f>VLOOKUP($A132,'Spec Analysis_ScreenSize'!$A$2:$E$142,5,0)</f>
        <v>0.786432</v>
      </c>
      <c r="H132" s="259" t="s">
        <v>151</v>
      </c>
      <c r="I132" s="387">
        <v>15</v>
      </c>
      <c r="J132" s="270">
        <v>11.973543307086615</v>
      </c>
      <c r="K132" s="270">
        <v>8.980157480314961</v>
      </c>
      <c r="L132" s="246">
        <v>107.524304495009</v>
      </c>
      <c r="M132" s="247" t="s">
        <v>141</v>
      </c>
      <c r="N132" s="247" t="s">
        <v>132</v>
      </c>
      <c r="O132" s="247" t="s">
        <v>122</v>
      </c>
      <c r="P132" s="247" t="s">
        <v>122</v>
      </c>
      <c r="Q132" s="247" t="s">
        <v>122</v>
      </c>
      <c r="R132" s="247"/>
      <c r="S132" s="247" t="s">
        <v>132</v>
      </c>
      <c r="T132" s="247">
        <v>175</v>
      </c>
      <c r="U132" s="247">
        <v>107</v>
      </c>
      <c r="V132" s="247">
        <v>132</v>
      </c>
      <c r="W132" s="247">
        <v>202</v>
      </c>
      <c r="X132" s="247">
        <v>15.7</v>
      </c>
      <c r="Y132" s="247">
        <v>10.2</v>
      </c>
      <c r="Z132" s="247">
        <v>16.8</v>
      </c>
      <c r="AA132" s="247">
        <v>19</v>
      </c>
      <c r="AB132" s="247">
        <v>0.41</v>
      </c>
      <c r="AC132" s="247">
        <v>0.37</v>
      </c>
      <c r="AD132" s="247"/>
      <c r="AE132" s="247"/>
      <c r="AF132" s="247"/>
      <c r="AG132" s="247"/>
      <c r="AH132" s="422">
        <f>data2!$C131+data2!$B131*T132</f>
        <v>16.94149503493931</v>
      </c>
      <c r="AI132" s="422">
        <f aca="true" t="shared" si="10" ref="AI132:AI147">X132</f>
        <v>15.7</v>
      </c>
      <c r="AJ132" s="423">
        <f aca="true" t="shared" si="11" ref="AJ132:AJ147">(AH132-AI132)/AH132</f>
        <v>0.07328131504208535</v>
      </c>
      <c r="AK132" s="422">
        <f>IF(I132&gt;=30,data2!B131*'Proposed Spec Lines'!$E$6+data2!C131,IF(G132&gt;=1.1,data2!B131*'Proposed Spec Lines'!$C$6+data2!C131,data2!B131*'Proposed Spec Lines'!$D$6+data2!C131))</f>
        <v>16.94149503493931</v>
      </c>
      <c r="AL132" s="424">
        <f>IF(I132&gt;=30,'Proposed Spec Lines'!$E$6,IF(G132&gt;=1.1,'Proposed Spec Lines'!$C$6,'Proposed Spec Lines'!$D$6))</f>
        <v>175</v>
      </c>
      <c r="AM132" s="422">
        <f t="shared" si="8"/>
        <v>15.7</v>
      </c>
      <c r="AN132" s="424">
        <f t="shared" si="9"/>
        <v>175</v>
      </c>
      <c r="AO132" s="446">
        <f>IF(O132="Y",'Proposed Spec Lines'!$G$6*AM132+'Proposed Spec Lines'!$G$5*Y132,AM132)</f>
        <v>14.600000000000001</v>
      </c>
      <c r="AP132" s="445">
        <f>IF(O132="Y",'Proposed Spec Lines'!$G$6*AN132+'Proposed Spec Lines'!$G$5*U132,AN132)</f>
        <v>161.4</v>
      </c>
      <c r="AR132" s="425"/>
    </row>
    <row r="133" spans="1:44" s="421" customFormat="1" ht="11.25">
      <c r="A133" s="416">
        <v>131</v>
      </c>
      <c r="B133" s="277">
        <v>39535</v>
      </c>
      <c r="C133" s="258" t="s">
        <v>118</v>
      </c>
      <c r="D133" s="258" t="s">
        <v>119</v>
      </c>
      <c r="E133" s="247" t="s">
        <v>127</v>
      </c>
      <c r="F133" s="247" t="s">
        <v>24</v>
      </c>
      <c r="G133" s="414">
        <f>VLOOKUP($A133,'Spec Analysis_ScreenSize'!$A$2:$E$142,5,0)</f>
        <v>1.049088</v>
      </c>
      <c r="H133" s="259" t="s">
        <v>153</v>
      </c>
      <c r="I133" s="387">
        <v>15.6</v>
      </c>
      <c r="J133" s="270">
        <v>13.681102362204726</v>
      </c>
      <c r="K133" s="270">
        <v>7.748031496062993</v>
      </c>
      <c r="L133" s="246">
        <v>106.00161200322403</v>
      </c>
      <c r="M133" s="247" t="s">
        <v>141</v>
      </c>
      <c r="N133" s="247" t="s">
        <v>132</v>
      </c>
      <c r="O133" s="247" t="s">
        <v>122</v>
      </c>
      <c r="P133" s="247" t="s">
        <v>122</v>
      </c>
      <c r="Q133" s="247" t="s">
        <v>122</v>
      </c>
      <c r="R133" s="247" t="s">
        <v>183</v>
      </c>
      <c r="S133" s="247" t="s">
        <v>132</v>
      </c>
      <c r="T133" s="247">
        <v>175</v>
      </c>
      <c r="U133" s="247">
        <v>45</v>
      </c>
      <c r="V133" s="247">
        <v>153</v>
      </c>
      <c r="W133" s="247">
        <v>223</v>
      </c>
      <c r="X133" s="247">
        <v>13.6</v>
      </c>
      <c r="Y133" s="247">
        <v>6.9</v>
      </c>
      <c r="Z133" s="247">
        <v>13.8</v>
      </c>
      <c r="AA133" s="247">
        <v>16.3</v>
      </c>
      <c r="AB133" s="247">
        <v>0.4</v>
      </c>
      <c r="AC133" s="247">
        <v>0.36</v>
      </c>
      <c r="AD133" s="247"/>
      <c r="AE133" s="247"/>
      <c r="AF133" s="247"/>
      <c r="AG133" s="247"/>
      <c r="AH133" s="422">
        <f>data2!$C132+data2!$B132*T133</f>
        <v>14.02378709373528</v>
      </c>
      <c r="AI133" s="422">
        <f t="shared" si="10"/>
        <v>13.6</v>
      </c>
      <c r="AJ133" s="423">
        <f t="shared" si="11"/>
        <v>0.030219161978335688</v>
      </c>
      <c r="AK133" s="422">
        <f>IF(I133&gt;=30,data2!B132*'Proposed Spec Lines'!$E$6+data2!C132,IF(G133&gt;=1.1,data2!B132*'Proposed Spec Lines'!$C$6+data2!C132,data2!B132*'Proposed Spec Lines'!$D$6+data2!C132))</f>
        <v>14.02378709373528</v>
      </c>
      <c r="AL133" s="424">
        <f>IF(I133&gt;=30,'Proposed Spec Lines'!$E$6,IF(G133&gt;=1.1,'Proposed Spec Lines'!$C$6,'Proposed Spec Lines'!$D$6))</f>
        <v>175</v>
      </c>
      <c r="AM133" s="422">
        <f t="shared" si="8"/>
        <v>13.6</v>
      </c>
      <c r="AN133" s="424">
        <f t="shared" si="9"/>
        <v>175</v>
      </c>
      <c r="AO133" s="446">
        <f>IF(O133="Y",'Proposed Spec Lines'!$G$6*AM133+'Proposed Spec Lines'!$G$5*Y133,AM133)</f>
        <v>12.260000000000002</v>
      </c>
      <c r="AP133" s="445">
        <f>IF(O133="Y",'Proposed Spec Lines'!$G$6*AN133+'Proposed Spec Lines'!$G$5*U133,AN133)</f>
        <v>149</v>
      </c>
      <c r="AR133" s="425"/>
    </row>
    <row r="134" spans="1:44" ht="11.25">
      <c r="A134" s="416">
        <v>132</v>
      </c>
      <c r="B134" s="277">
        <v>39535</v>
      </c>
      <c r="C134" s="258" t="s">
        <v>118</v>
      </c>
      <c r="D134" s="258" t="s">
        <v>119</v>
      </c>
      <c r="E134" s="247" t="s">
        <v>127</v>
      </c>
      <c r="F134" s="247" t="s">
        <v>3</v>
      </c>
      <c r="G134" s="414">
        <f>VLOOKUP($A134,'Spec Analysis_ScreenSize'!$A$2:$E$142,5,0)</f>
        <v>1.31072</v>
      </c>
      <c r="H134" s="259" t="s">
        <v>151</v>
      </c>
      <c r="I134" s="387">
        <v>17</v>
      </c>
      <c r="J134" s="270">
        <v>13.303937007874017</v>
      </c>
      <c r="K134" s="270">
        <v>10.643149606299215</v>
      </c>
      <c r="L134" s="246">
        <v>141.5957919275839</v>
      </c>
      <c r="M134" s="247" t="s">
        <v>141</v>
      </c>
      <c r="N134" s="247" t="s">
        <v>132</v>
      </c>
      <c r="O134" s="247" t="s">
        <v>122</v>
      </c>
      <c r="P134" s="247" t="s">
        <v>122</v>
      </c>
      <c r="Q134" s="247" t="s">
        <v>122</v>
      </c>
      <c r="R134" s="247" t="s">
        <v>183</v>
      </c>
      <c r="S134" s="247" t="s">
        <v>132</v>
      </c>
      <c r="T134" s="247">
        <v>175</v>
      </c>
      <c r="U134" s="247">
        <v>71.9</v>
      </c>
      <c r="V134" s="247">
        <v>246</v>
      </c>
      <c r="W134" s="247">
        <v>260</v>
      </c>
      <c r="X134" s="247">
        <v>20.5</v>
      </c>
      <c r="Y134" s="247">
        <v>13.1</v>
      </c>
      <c r="Z134" s="247">
        <v>25.6</v>
      </c>
      <c r="AA134" s="247">
        <v>26.5</v>
      </c>
      <c r="AB134" s="247">
        <v>0.65</v>
      </c>
      <c r="AC134" s="247">
        <v>0.57</v>
      </c>
      <c r="AD134" s="247"/>
      <c r="AE134" s="247"/>
      <c r="AF134" s="247"/>
      <c r="AG134" s="247"/>
      <c r="AH134" s="446">
        <f>data2!$C133+data2!$B133*T134</f>
        <v>20.47995293748211</v>
      </c>
      <c r="AI134" s="446">
        <f t="shared" si="10"/>
        <v>20.5</v>
      </c>
      <c r="AJ134" s="457">
        <f t="shared" si="11"/>
        <v>-0.0009788627239079059</v>
      </c>
      <c r="AK134" s="446">
        <f>IF(I134&gt;=30,data2!B133*'Proposed Spec Lines'!$E$6+data2!C133,IF(G134&gt;=1.1,data2!B133*'Proposed Spec Lines'!$C$6+data2!C133,data2!B133*'Proposed Spec Lines'!$D$6+data2!C133))</f>
        <v>22.26643131653294</v>
      </c>
      <c r="AL134" s="445">
        <f>IF(I134&gt;=30,'Proposed Spec Lines'!$E$6,IF(G134&gt;=1.1,'Proposed Spec Lines'!$C$6,'Proposed Spec Lines'!$D$6))</f>
        <v>200</v>
      </c>
      <c r="AM134" s="446">
        <f t="shared" si="8"/>
        <v>22.26643131653294</v>
      </c>
      <c r="AN134" s="445">
        <f t="shared" si="9"/>
        <v>200</v>
      </c>
      <c r="AO134" s="446">
        <f>IF(O134="Y",'Proposed Spec Lines'!$G$6*AM134+'Proposed Spec Lines'!$G$5*Y134,AM134)</f>
        <v>20.433145053226355</v>
      </c>
      <c r="AP134" s="445">
        <f>IF(O134="Y",'Proposed Spec Lines'!$G$6*AN134+'Proposed Spec Lines'!$G$5*U134,AN134)</f>
        <v>174.38</v>
      </c>
      <c r="AR134" s="458"/>
    </row>
    <row r="135" spans="1:44" ht="11.25">
      <c r="A135" s="447">
        <v>133</v>
      </c>
      <c r="B135" s="277">
        <v>39535</v>
      </c>
      <c r="C135" s="258" t="s">
        <v>118</v>
      </c>
      <c r="D135" s="258" t="s">
        <v>119</v>
      </c>
      <c r="E135" s="247" t="s">
        <v>127</v>
      </c>
      <c r="F135" s="247" t="s">
        <v>4</v>
      </c>
      <c r="G135" s="414">
        <f>VLOOKUP($A135,'Spec Analysis_ScreenSize'!$A$2:$E$142,5,0)</f>
        <v>1.296</v>
      </c>
      <c r="H135" s="259" t="s">
        <v>147</v>
      </c>
      <c r="I135" s="387">
        <v>19</v>
      </c>
      <c r="J135" s="270">
        <v>16.07244094488189</v>
      </c>
      <c r="K135" s="270">
        <v>10.045275590551181</v>
      </c>
      <c r="L135" s="246">
        <v>161.45209870419743</v>
      </c>
      <c r="M135" s="247" t="s">
        <v>141</v>
      </c>
      <c r="N135" s="247" t="s">
        <v>132</v>
      </c>
      <c r="O135" s="247" t="s">
        <v>122</v>
      </c>
      <c r="P135" s="247" t="s">
        <v>122</v>
      </c>
      <c r="Q135" s="247" t="s">
        <v>122</v>
      </c>
      <c r="R135" s="247"/>
      <c r="S135" s="247" t="s">
        <v>132</v>
      </c>
      <c r="T135" s="247">
        <v>175</v>
      </c>
      <c r="U135" s="247">
        <v>67</v>
      </c>
      <c r="V135" s="247">
        <v>163</v>
      </c>
      <c r="W135" s="247">
        <v>266</v>
      </c>
      <c r="X135" s="247">
        <v>27</v>
      </c>
      <c r="Y135" s="247">
        <v>15.5</v>
      </c>
      <c r="Z135" s="247">
        <v>31.2</v>
      </c>
      <c r="AA135" s="247">
        <v>33.8</v>
      </c>
      <c r="AB135" s="247">
        <v>0.45</v>
      </c>
      <c r="AC135" s="247">
        <v>0.37</v>
      </c>
      <c r="AD135" s="247"/>
      <c r="AE135" s="247"/>
      <c r="AF135" s="247"/>
      <c r="AG135" s="247"/>
      <c r="AH135" s="446">
        <f>data2!$C134+data2!$B134*T135</f>
        <v>27.53395082688801</v>
      </c>
      <c r="AI135" s="446">
        <f t="shared" si="10"/>
        <v>27</v>
      </c>
      <c r="AJ135" s="457">
        <f t="shared" si="11"/>
        <v>0.019392452258125817</v>
      </c>
      <c r="AK135" s="446">
        <f>IF(I135&gt;=30,data2!B134*'Proposed Spec Lines'!$E$6+data2!C134,IF(G135&gt;=1.1,data2!B134*'Proposed Spec Lines'!$C$6+data2!C134,data2!B134*'Proposed Spec Lines'!$D$6+data2!C134))</f>
        <v>29.806195057536307</v>
      </c>
      <c r="AL135" s="445">
        <f>IF(I135&gt;=30,'Proposed Spec Lines'!$E$6,IF(G135&gt;=1.1,'Proposed Spec Lines'!$C$6,'Proposed Spec Lines'!$D$6))</f>
        <v>200</v>
      </c>
      <c r="AM135" s="446">
        <f t="shared" si="8"/>
        <v>29.806195057536307</v>
      </c>
      <c r="AN135" s="445">
        <f t="shared" si="9"/>
        <v>200</v>
      </c>
      <c r="AO135" s="446">
        <f>IF(O135="Y",'Proposed Spec Lines'!$G$6*AM135+'Proposed Spec Lines'!$G$5*Y135,AM135)</f>
        <v>26.94495604602905</v>
      </c>
      <c r="AP135" s="445">
        <f>IF(O135="Y",'Proposed Spec Lines'!$G$6*AN135+'Proposed Spec Lines'!$G$5*U135,AN135)</f>
        <v>173.4</v>
      </c>
      <c r="AR135" s="458"/>
    </row>
    <row r="136" spans="1:44" ht="11.25">
      <c r="A136" s="416">
        <v>134</v>
      </c>
      <c r="B136" s="277">
        <v>39535</v>
      </c>
      <c r="C136" s="258" t="s">
        <v>118</v>
      </c>
      <c r="D136" s="258" t="s">
        <v>119</v>
      </c>
      <c r="E136" s="247" t="s">
        <v>127</v>
      </c>
      <c r="F136" s="247" t="s">
        <v>4</v>
      </c>
      <c r="G136" s="414">
        <f>VLOOKUP($A136,'Spec Analysis_ScreenSize'!$A$2:$E$142,5,0)</f>
        <v>1.296</v>
      </c>
      <c r="H136" s="259" t="s">
        <v>147</v>
      </c>
      <c r="I136" s="387">
        <v>19</v>
      </c>
      <c r="J136" s="270">
        <v>16.07244094488189</v>
      </c>
      <c r="K136" s="270">
        <v>10.045275590551181</v>
      </c>
      <c r="L136" s="246">
        <v>161.45209870419743</v>
      </c>
      <c r="M136" s="247" t="s">
        <v>141</v>
      </c>
      <c r="N136" s="247" t="s">
        <v>132</v>
      </c>
      <c r="O136" s="247" t="s">
        <v>122</v>
      </c>
      <c r="P136" s="247" t="s">
        <v>122</v>
      </c>
      <c r="Q136" s="247" t="s">
        <v>122</v>
      </c>
      <c r="R136" s="247"/>
      <c r="S136" s="247" t="s">
        <v>132</v>
      </c>
      <c r="T136" s="247">
        <v>175</v>
      </c>
      <c r="U136" s="247">
        <v>52</v>
      </c>
      <c r="V136" s="247">
        <v>170</v>
      </c>
      <c r="W136" s="247">
        <v>311</v>
      </c>
      <c r="X136" s="247">
        <v>24.3</v>
      </c>
      <c r="Y136" s="247">
        <v>15.6</v>
      </c>
      <c r="Z136" s="247">
        <v>29.7</v>
      </c>
      <c r="AA136" s="247">
        <v>35.3</v>
      </c>
      <c r="AB136" s="247">
        <v>0.4</v>
      </c>
      <c r="AC136" s="247">
        <v>0.34</v>
      </c>
      <c r="AD136" s="247"/>
      <c r="AE136" s="247"/>
      <c r="AF136" s="247"/>
      <c r="AG136" s="247"/>
      <c r="AH136" s="446">
        <f>data2!$C135+data2!$B135*T136</f>
        <v>26.074931616816315</v>
      </c>
      <c r="AI136" s="446">
        <f t="shared" si="10"/>
        <v>24.3</v>
      </c>
      <c r="AJ136" s="457">
        <f t="shared" si="11"/>
        <v>0.06807042269179416</v>
      </c>
      <c r="AK136" s="446">
        <f>IF(I136&gt;=30,data2!B135*'Proposed Spec Lines'!$E$6+data2!C135,IF(G136&gt;=1.1,data2!B135*'Proposed Spec Lines'!$C$6+data2!C135,data2!B135*'Proposed Spec Lines'!$D$6+data2!C135))</f>
        <v>27.95078640661235</v>
      </c>
      <c r="AL136" s="445">
        <f>IF(I136&gt;=30,'Proposed Spec Lines'!$E$6,IF(G136&gt;=1.1,'Proposed Spec Lines'!$C$6,'Proposed Spec Lines'!$D$6))</f>
        <v>200</v>
      </c>
      <c r="AM136" s="446">
        <f t="shared" si="8"/>
        <v>27.95078640661235</v>
      </c>
      <c r="AN136" s="445">
        <f t="shared" si="9"/>
        <v>200</v>
      </c>
      <c r="AO136" s="446">
        <f>IF(O136="Y",'Proposed Spec Lines'!$G$6*AM136+'Proposed Spec Lines'!$G$5*Y136,AM136)</f>
        <v>25.480629125289884</v>
      </c>
      <c r="AP136" s="445">
        <f>IF(O136="Y",'Proposed Spec Lines'!$G$6*AN136+'Proposed Spec Lines'!$G$5*U136,AN136)</f>
        <v>170.4</v>
      </c>
      <c r="AR136" s="458"/>
    </row>
    <row r="137" spans="1:44" ht="11.25">
      <c r="A137" s="416">
        <v>135</v>
      </c>
      <c r="B137" s="277">
        <v>39535</v>
      </c>
      <c r="C137" s="258" t="s">
        <v>118</v>
      </c>
      <c r="D137" s="258" t="s">
        <v>119</v>
      </c>
      <c r="E137" s="247" t="s">
        <v>127</v>
      </c>
      <c r="F137" s="247" t="s">
        <v>2</v>
      </c>
      <c r="G137" s="414">
        <f>VLOOKUP($A137,'Spec Analysis_ScreenSize'!$A$2:$E$142,5,0)</f>
        <v>1.764</v>
      </c>
      <c r="H137" s="259" t="s">
        <v>147</v>
      </c>
      <c r="I137" s="387">
        <v>20.1</v>
      </c>
      <c r="J137" s="270">
        <v>17.06456692913386</v>
      </c>
      <c r="K137" s="270">
        <v>10.665354330708661</v>
      </c>
      <c r="L137" s="246">
        <v>181.9996527993056</v>
      </c>
      <c r="M137" s="247" t="s">
        <v>141</v>
      </c>
      <c r="N137" s="247" t="s">
        <v>132</v>
      </c>
      <c r="O137" s="247" t="s">
        <v>122</v>
      </c>
      <c r="P137" s="247" t="s">
        <v>122</v>
      </c>
      <c r="Q137" s="247" t="s">
        <v>122</v>
      </c>
      <c r="R137" s="247" t="s">
        <v>183</v>
      </c>
      <c r="S137" s="247" t="s">
        <v>132</v>
      </c>
      <c r="T137" s="247">
        <v>175</v>
      </c>
      <c r="U137" s="247">
        <v>50</v>
      </c>
      <c r="V137" s="247">
        <v>221</v>
      </c>
      <c r="W137" s="247">
        <v>293</v>
      </c>
      <c r="X137" s="247">
        <v>26.6</v>
      </c>
      <c r="Y137" s="247">
        <v>19.9</v>
      </c>
      <c r="Z137" s="247">
        <v>34.1</v>
      </c>
      <c r="AA137" s="247">
        <v>36.4</v>
      </c>
      <c r="AB137" s="247">
        <v>0.33</v>
      </c>
      <c r="AC137" s="247">
        <v>0.32</v>
      </c>
      <c r="AD137" s="247"/>
      <c r="AE137" s="247"/>
      <c r="AF137" s="247"/>
      <c r="AG137" s="247"/>
      <c r="AH137" s="446">
        <f>data2!$C136+data2!$B136*T137</f>
        <v>28.55328314913816</v>
      </c>
      <c r="AI137" s="446">
        <f t="shared" si="10"/>
        <v>26.6</v>
      </c>
      <c r="AJ137" s="457">
        <f t="shared" si="11"/>
        <v>0.06840835566739777</v>
      </c>
      <c r="AK137" s="446">
        <f>IF(I137&gt;=30,data2!B136*'Proposed Spec Lines'!$E$6+data2!C136,IF(G137&gt;=1.1,data2!B136*'Proposed Spec Lines'!$C$6+data2!C136,data2!B136*'Proposed Spec Lines'!$D$6+data2!C136))</f>
        <v>30.33973661288647</v>
      </c>
      <c r="AL137" s="445">
        <f>IF(I137&gt;=30,'Proposed Spec Lines'!$E$6,IF(G137&gt;=1.1,'Proposed Spec Lines'!$C$6,'Proposed Spec Lines'!$D$6))</f>
        <v>200</v>
      </c>
      <c r="AM137" s="446">
        <f aca="true" t="shared" si="12" ref="AM137:AM151">IF($AL137=175,X137,IF($W137&lt;$AL137,$AA137,$AK137))</f>
        <v>30.33973661288647</v>
      </c>
      <c r="AN137" s="445">
        <f aca="true" t="shared" si="13" ref="AN137:AN151">IF($AL137=175,T137,IF($AL137&gt;W137,W137,$AL137))</f>
        <v>200</v>
      </c>
      <c r="AO137" s="446">
        <f>IF(O137="Y",'Proposed Spec Lines'!$G$6*AM137+'Proposed Spec Lines'!$G$5*Y137,AM137)</f>
        <v>28.251789290309176</v>
      </c>
      <c r="AP137" s="445">
        <f>IF(O137="Y",'Proposed Spec Lines'!$G$6*AN137+'Proposed Spec Lines'!$G$5*U137,AN137)</f>
        <v>170</v>
      </c>
      <c r="AR137" s="458"/>
    </row>
    <row r="138" spans="1:44" ht="11.25">
      <c r="A138" s="447">
        <v>136</v>
      </c>
      <c r="B138" s="277">
        <v>39535</v>
      </c>
      <c r="C138" s="258" t="s">
        <v>118</v>
      </c>
      <c r="D138" s="258" t="s">
        <v>119</v>
      </c>
      <c r="E138" s="247" t="s">
        <v>127</v>
      </c>
      <c r="F138" s="247" t="s">
        <v>2</v>
      </c>
      <c r="G138" s="414">
        <f>VLOOKUP($A138,'Spec Analysis_ScreenSize'!$A$2:$E$142,5,0)</f>
        <v>1.764</v>
      </c>
      <c r="H138" s="259" t="s">
        <v>147</v>
      </c>
      <c r="I138" s="387">
        <v>22</v>
      </c>
      <c r="J138" s="270">
        <v>18.65196850393701</v>
      </c>
      <c r="K138" s="270">
        <v>11.657480314960631</v>
      </c>
      <c r="L138" s="246">
        <v>217.43495566991137</v>
      </c>
      <c r="M138" s="247" t="s">
        <v>141</v>
      </c>
      <c r="N138" s="247" t="s">
        <v>132</v>
      </c>
      <c r="O138" s="247" t="s">
        <v>122</v>
      </c>
      <c r="P138" s="247" t="s">
        <v>122</v>
      </c>
      <c r="Q138" s="247" t="s">
        <v>122</v>
      </c>
      <c r="R138" s="247" t="s">
        <v>183</v>
      </c>
      <c r="S138" s="247" t="s">
        <v>132</v>
      </c>
      <c r="T138" s="247">
        <v>175</v>
      </c>
      <c r="U138" s="247">
        <v>47</v>
      </c>
      <c r="V138" s="247">
        <v>187</v>
      </c>
      <c r="W138" s="247">
        <v>298</v>
      </c>
      <c r="X138" s="247">
        <v>29.4</v>
      </c>
      <c r="Y138" s="247">
        <v>20.2</v>
      </c>
      <c r="Z138" s="247">
        <v>34.6</v>
      </c>
      <c r="AA138" s="247">
        <v>42.2</v>
      </c>
      <c r="AB138" s="247">
        <v>0.49</v>
      </c>
      <c r="AC138" s="247">
        <v>0.4</v>
      </c>
      <c r="AD138" s="247"/>
      <c r="AE138" s="247"/>
      <c r="AF138" s="247"/>
      <c r="AG138" s="247"/>
      <c r="AH138" s="446">
        <f>data2!$C137+data2!$B137*T138</f>
        <v>31.445211290972434</v>
      </c>
      <c r="AI138" s="446">
        <f t="shared" si="10"/>
        <v>29.4</v>
      </c>
      <c r="AJ138" s="457">
        <f t="shared" si="11"/>
        <v>0.06504046902555216</v>
      </c>
      <c r="AK138" s="446">
        <f>IF(I138&gt;=30,data2!B137*'Proposed Spec Lines'!$E$6+data2!C137,IF(G138&gt;=1.1,data2!B137*'Proposed Spec Lines'!$C$6+data2!C137,data2!B137*'Proposed Spec Lines'!$D$6+data2!C137))</f>
        <v>33.656478562794774</v>
      </c>
      <c r="AL138" s="445">
        <f>IF(I138&gt;=30,'Proposed Spec Lines'!$E$6,IF(G138&gt;=1.1,'Proposed Spec Lines'!$C$6,'Proposed Spec Lines'!$D$6))</f>
        <v>200</v>
      </c>
      <c r="AM138" s="446">
        <f t="shared" si="12"/>
        <v>33.656478562794774</v>
      </c>
      <c r="AN138" s="445">
        <f t="shared" si="13"/>
        <v>200</v>
      </c>
      <c r="AO138" s="446">
        <f>IF(O138="Y",'Proposed Spec Lines'!$G$6*AM138+'Proposed Spec Lines'!$G$5*Y138,AM138)</f>
        <v>30.96518285023582</v>
      </c>
      <c r="AP138" s="445">
        <f>IF(O138="Y",'Proposed Spec Lines'!$G$6*AN138+'Proposed Spec Lines'!$G$5*U138,AN138)</f>
        <v>169.4</v>
      </c>
      <c r="AR138" s="458"/>
    </row>
    <row r="139" spans="1:44" ht="11.25">
      <c r="A139" s="416">
        <v>137</v>
      </c>
      <c r="B139" s="277">
        <v>39535</v>
      </c>
      <c r="C139" s="258" t="s">
        <v>118</v>
      </c>
      <c r="D139" s="258" t="s">
        <v>119</v>
      </c>
      <c r="E139" s="247" t="s">
        <v>127</v>
      </c>
      <c r="F139" s="247" t="s">
        <v>1</v>
      </c>
      <c r="G139" s="414">
        <f>VLOOKUP($A139,'Spec Analysis_ScreenSize'!$A$2:$E$142,5,0)</f>
        <v>2.304</v>
      </c>
      <c r="H139" s="259" t="s">
        <v>153</v>
      </c>
      <c r="I139" s="387">
        <v>24</v>
      </c>
      <c r="J139" s="270">
        <v>20.409448818897637</v>
      </c>
      <c r="K139" s="270">
        <v>12.755905511811024</v>
      </c>
      <c r="L139" s="246">
        <v>260.3410006820014</v>
      </c>
      <c r="M139" s="247" t="s">
        <v>141</v>
      </c>
      <c r="N139" s="247" t="s">
        <v>132</v>
      </c>
      <c r="O139" s="247" t="s">
        <v>122</v>
      </c>
      <c r="P139" s="247" t="s">
        <v>122</v>
      </c>
      <c r="Q139" s="247" t="s">
        <v>122</v>
      </c>
      <c r="R139" s="247"/>
      <c r="S139" s="247" t="s">
        <v>132</v>
      </c>
      <c r="T139" s="247">
        <v>175</v>
      </c>
      <c r="U139" s="247">
        <v>36.6</v>
      </c>
      <c r="V139" s="247">
        <v>284</v>
      </c>
      <c r="W139" s="247">
        <v>554</v>
      </c>
      <c r="X139" s="247">
        <v>38</v>
      </c>
      <c r="Y139" s="247">
        <v>26.4</v>
      </c>
      <c r="Z139" s="247">
        <v>68.4</v>
      </c>
      <c r="AA139" s="247">
        <v>84.5</v>
      </c>
      <c r="AB139" s="247">
        <v>0.78</v>
      </c>
      <c r="AC139" s="247">
        <v>0.72</v>
      </c>
      <c r="AD139" s="247"/>
      <c r="AE139" s="247"/>
      <c r="AF139" s="247"/>
      <c r="AG139" s="247"/>
      <c r="AH139" s="461">
        <f>data2!$C138+data2!$B138*T139</f>
        <v>44.115511729268476</v>
      </c>
      <c r="AI139" s="461">
        <f t="shared" si="10"/>
        <v>38</v>
      </c>
      <c r="AJ139" s="462">
        <f t="shared" si="11"/>
        <v>0.13862497542357952</v>
      </c>
      <c r="AK139" s="446">
        <f>IF(I139&gt;=30,data2!B138*'Proposed Spec Lines'!$E$6+data2!C138,IF(G139&gt;=1.1,data2!B138*'Proposed Spec Lines'!$C$6+data2!C138,data2!B138*'Proposed Spec Lines'!$D$6+data2!C138))</f>
        <v>47.03584590281868</v>
      </c>
      <c r="AL139" s="445">
        <f>IF(I139&gt;=30,'Proposed Spec Lines'!$E$6,IF(G139&gt;=1.1,'Proposed Spec Lines'!$C$6,'Proposed Spec Lines'!$D$6))</f>
        <v>200</v>
      </c>
      <c r="AM139" s="446">
        <f t="shared" si="12"/>
        <v>47.03584590281868</v>
      </c>
      <c r="AN139" s="445">
        <f t="shared" si="13"/>
        <v>200</v>
      </c>
      <c r="AO139" s="446">
        <f>IF(O139="Y",'Proposed Spec Lines'!$G$6*AM139+'Proposed Spec Lines'!$G$5*Y139,AM139)</f>
        <v>42.908676722254945</v>
      </c>
      <c r="AP139" s="445">
        <f>IF(O139="Y",'Proposed Spec Lines'!$G$6*AN139+'Proposed Spec Lines'!$G$5*U139,AN139)</f>
        <v>167.32</v>
      </c>
      <c r="AR139" s="458"/>
    </row>
    <row r="140" spans="1:44" ht="11.25">
      <c r="A140" s="416">
        <v>138</v>
      </c>
      <c r="B140" s="277">
        <v>39535</v>
      </c>
      <c r="C140" s="258" t="s">
        <v>118</v>
      </c>
      <c r="D140" s="258" t="s">
        <v>119</v>
      </c>
      <c r="E140" s="247" t="s">
        <v>127</v>
      </c>
      <c r="F140" s="247" t="s">
        <v>1</v>
      </c>
      <c r="G140" s="414">
        <f>VLOOKUP($A140,'Spec Analysis_ScreenSize'!$A$2:$E$142,5,0)</f>
        <v>2.304</v>
      </c>
      <c r="H140" s="259" t="s">
        <v>147</v>
      </c>
      <c r="I140" s="387">
        <v>25.54</v>
      </c>
      <c r="J140" s="270">
        <v>21.65669291338583</v>
      </c>
      <c r="K140" s="270">
        <v>13.535433070866143</v>
      </c>
      <c r="L140" s="246">
        <v>293.13271746543495</v>
      </c>
      <c r="M140" s="247" t="s">
        <v>141</v>
      </c>
      <c r="N140" s="247" t="s">
        <v>132</v>
      </c>
      <c r="O140" s="247" t="s">
        <v>122</v>
      </c>
      <c r="P140" s="247" t="s">
        <v>122</v>
      </c>
      <c r="Q140" s="247" t="s">
        <v>122</v>
      </c>
      <c r="R140" s="247"/>
      <c r="S140" s="247" t="s">
        <v>132</v>
      </c>
      <c r="T140" s="247">
        <v>175</v>
      </c>
      <c r="U140" s="247">
        <v>45</v>
      </c>
      <c r="V140" s="247">
        <v>360</v>
      </c>
      <c r="W140" s="247">
        <v>480</v>
      </c>
      <c r="X140" s="247">
        <v>45.9</v>
      </c>
      <c r="Y140" s="247">
        <v>36</v>
      </c>
      <c r="Z140" s="247">
        <v>84.5</v>
      </c>
      <c r="AA140" s="247">
        <v>90.5</v>
      </c>
      <c r="AB140" s="247">
        <v>0.55</v>
      </c>
      <c r="AC140" s="247">
        <v>0.27</v>
      </c>
      <c r="AD140" s="247"/>
      <c r="AE140" s="247"/>
      <c r="AF140" s="247"/>
      <c r="AG140" s="247"/>
      <c r="AH140" s="461">
        <f>data2!$C139+data2!$B139*T140</f>
        <v>51.794932885906036</v>
      </c>
      <c r="AI140" s="461">
        <f t="shared" si="10"/>
        <v>45.9</v>
      </c>
      <c r="AJ140" s="462">
        <f t="shared" si="11"/>
        <v>0.113812926428371</v>
      </c>
      <c r="AK140" s="446">
        <f>IF(I140&gt;=30,data2!B139*'Proposed Spec Lines'!$E$6+data2!C139,IF(G140&gt;=1.1,data2!B139*'Proposed Spec Lines'!$C$6+data2!C139,data2!B139*'Proposed Spec Lines'!$D$6+data2!C139))</f>
        <v>55.24772930648769</v>
      </c>
      <c r="AL140" s="445">
        <f>IF(I140&gt;=30,'Proposed Spec Lines'!$E$6,IF(G140&gt;=1.1,'Proposed Spec Lines'!$C$6,'Proposed Spec Lines'!$D$6))</f>
        <v>200</v>
      </c>
      <c r="AM140" s="446">
        <f t="shared" si="12"/>
        <v>55.24772930648769</v>
      </c>
      <c r="AN140" s="445">
        <f t="shared" si="13"/>
        <v>200</v>
      </c>
      <c r="AO140" s="446">
        <f>IF(O140="Y",'Proposed Spec Lines'!$G$6*AM140+'Proposed Spec Lines'!$G$5*Y140,AM140)</f>
        <v>51.398183445190156</v>
      </c>
      <c r="AP140" s="445">
        <f>IF(O140="Y",'Proposed Spec Lines'!$G$6*AN140+'Proposed Spec Lines'!$G$5*U140,AN140)</f>
        <v>169</v>
      </c>
      <c r="AR140" s="458"/>
    </row>
    <row r="141" spans="1:44" s="421" customFormat="1" ht="11.25">
      <c r="A141" s="447">
        <v>139</v>
      </c>
      <c r="B141" s="277">
        <v>39534</v>
      </c>
      <c r="C141" s="243" t="s">
        <v>118</v>
      </c>
      <c r="D141" s="258" t="s">
        <v>119</v>
      </c>
      <c r="E141" s="242" t="s">
        <v>127</v>
      </c>
      <c r="F141" s="247" t="s">
        <v>14</v>
      </c>
      <c r="G141" s="414">
        <f>VLOOKUP($A141,'Spec Analysis_ScreenSize'!$A$2:$E$142,5,0)</f>
        <v>0.786432</v>
      </c>
      <c r="H141" s="271" t="s">
        <v>151</v>
      </c>
      <c r="I141" s="387">
        <v>15</v>
      </c>
      <c r="J141" s="272">
        <v>11.973543307086615</v>
      </c>
      <c r="K141" s="272">
        <v>8.979094488188977</v>
      </c>
      <c r="L141" s="246">
        <v>107.51157671275344</v>
      </c>
      <c r="M141" s="247"/>
      <c r="N141" s="247" t="s">
        <v>186</v>
      </c>
      <c r="O141" s="242" t="s">
        <v>123</v>
      </c>
      <c r="P141" s="242" t="s">
        <v>122</v>
      </c>
      <c r="Q141" s="242"/>
      <c r="R141" s="247"/>
      <c r="S141" s="247" t="s">
        <v>132</v>
      </c>
      <c r="T141" s="247">
        <v>175.6</v>
      </c>
      <c r="U141" s="247">
        <v>3.35</v>
      </c>
      <c r="V141" s="247">
        <v>189.2</v>
      </c>
      <c r="W141" s="247">
        <v>242</v>
      </c>
      <c r="X141" s="242">
        <v>15.7</v>
      </c>
      <c r="Y141" s="247">
        <v>9.8</v>
      </c>
      <c r="Z141" s="247">
        <v>16.7</v>
      </c>
      <c r="AA141" s="247">
        <v>16.9</v>
      </c>
      <c r="AB141" s="247">
        <v>0.8</v>
      </c>
      <c r="AC141" s="247">
        <v>0.8</v>
      </c>
      <c r="AD141" s="247"/>
      <c r="AE141" s="247"/>
      <c r="AF141" s="247"/>
      <c r="AG141" s="247"/>
      <c r="AH141" s="422">
        <f>data2!$C140+data2!$B140*T141</f>
        <v>15.510026670052229</v>
      </c>
      <c r="AI141" s="422">
        <f t="shared" si="10"/>
        <v>15.7</v>
      </c>
      <c r="AJ141" s="423">
        <f t="shared" si="11"/>
        <v>-0.012248420585541835</v>
      </c>
      <c r="AK141" s="422">
        <f>IF(I141&gt;=30,data2!B140*'Proposed Spec Lines'!$E$6+data2!C140,IF(G141&gt;=1.1,data2!B140*'Proposed Spec Lines'!$C$6+data2!C140,data2!B140*'Proposed Spec Lines'!$D$6+data2!C140))</f>
        <v>15.490904024977699</v>
      </c>
      <c r="AL141" s="424">
        <f>IF(I141&gt;=30,'Proposed Spec Lines'!$E$6,IF(G141&gt;=1.1,'Proposed Spec Lines'!$C$6,'Proposed Spec Lines'!$D$6))</f>
        <v>175</v>
      </c>
      <c r="AM141" s="422">
        <f t="shared" si="12"/>
        <v>15.7</v>
      </c>
      <c r="AN141" s="424">
        <f t="shared" si="13"/>
        <v>175.6</v>
      </c>
      <c r="AO141" s="446">
        <f>IF(O141="Y",'Proposed Spec Lines'!$G$6*AM141+'Proposed Spec Lines'!$G$5*Y141,AM141)</f>
        <v>15.7</v>
      </c>
      <c r="AP141" s="445">
        <f>IF(O141="Y",'Proposed Spec Lines'!$G$6*AN141+'Proposed Spec Lines'!$G$5*U141,AN141)</f>
        <v>175.6</v>
      </c>
      <c r="AR141" s="425"/>
    </row>
    <row r="142" spans="1:44" s="421" customFormat="1" ht="11.25">
      <c r="A142" s="416">
        <v>140</v>
      </c>
      <c r="B142" s="277">
        <v>39534</v>
      </c>
      <c r="C142" s="243" t="s">
        <v>118</v>
      </c>
      <c r="D142" s="258" t="s">
        <v>119</v>
      </c>
      <c r="E142" s="242" t="s">
        <v>127</v>
      </c>
      <c r="F142" s="247" t="s">
        <v>14</v>
      </c>
      <c r="G142" s="414">
        <f>VLOOKUP($A142,'Spec Analysis_ScreenSize'!$A$2:$E$142,5,0)</f>
        <v>0.786432</v>
      </c>
      <c r="H142" s="271" t="s">
        <v>151</v>
      </c>
      <c r="I142" s="387">
        <v>15</v>
      </c>
      <c r="J142" s="272">
        <v>12.854330708661418</v>
      </c>
      <c r="K142" s="272">
        <v>9.980314960629922</v>
      </c>
      <c r="L142" s="246">
        <v>128.2902690805382</v>
      </c>
      <c r="M142" s="247"/>
      <c r="N142" s="247" t="s">
        <v>186</v>
      </c>
      <c r="O142" s="242" t="s">
        <v>123</v>
      </c>
      <c r="P142" s="242" t="s">
        <v>122</v>
      </c>
      <c r="Q142" s="242"/>
      <c r="R142" s="242"/>
      <c r="S142" s="247" t="s">
        <v>132</v>
      </c>
      <c r="T142" s="242">
        <v>174.7</v>
      </c>
      <c r="U142" s="242">
        <v>6.72</v>
      </c>
      <c r="V142" s="242">
        <v>244.3</v>
      </c>
      <c r="W142" s="242">
        <v>289.7</v>
      </c>
      <c r="X142" s="242">
        <v>14.2</v>
      </c>
      <c r="Y142" s="242">
        <v>9.9</v>
      </c>
      <c r="Z142" s="242">
        <v>16.3</v>
      </c>
      <c r="AA142" s="242">
        <v>16.7</v>
      </c>
      <c r="AB142" s="242">
        <v>0.7</v>
      </c>
      <c r="AC142" s="242">
        <v>0.7</v>
      </c>
      <c r="AD142" s="247"/>
      <c r="AE142" s="247"/>
      <c r="AF142" s="247"/>
      <c r="AG142" s="247"/>
      <c r="AH142" s="422">
        <f>data2!$C141+data2!$B141*T142</f>
        <v>14.171188569838645</v>
      </c>
      <c r="AI142" s="422">
        <f t="shared" si="10"/>
        <v>14.2</v>
      </c>
      <c r="AJ142" s="423">
        <f t="shared" si="11"/>
        <v>-0.002033099060065837</v>
      </c>
      <c r="AK142" s="422">
        <f>IF(I142&gt;=30,data2!B141*'Proposed Spec Lines'!$E$6+data2!C141,IF(G142&gt;=1.1,data2!B141*'Proposed Spec Lines'!$C$6+data2!C141,data2!B141*'Proposed Spec Lines'!$D$6+data2!C141))</f>
        <v>14.178683979958599</v>
      </c>
      <c r="AL142" s="424">
        <f>IF(I142&gt;=30,'Proposed Spec Lines'!$E$6,IF(G142&gt;=1.1,'Proposed Spec Lines'!$C$6,'Proposed Spec Lines'!$D$6))</f>
        <v>175</v>
      </c>
      <c r="AM142" s="422">
        <f t="shared" si="12"/>
        <v>14.2</v>
      </c>
      <c r="AN142" s="424">
        <f t="shared" si="13"/>
        <v>174.7</v>
      </c>
      <c r="AO142" s="446">
        <f>IF(O142="Y",'Proposed Spec Lines'!$G$6*AM142+'Proposed Spec Lines'!$G$5*Y142,AM142)</f>
        <v>14.2</v>
      </c>
      <c r="AP142" s="445">
        <f>IF(O142="Y",'Proposed Spec Lines'!$G$6*AN142+'Proposed Spec Lines'!$G$5*U142,AN142)</f>
        <v>174.7</v>
      </c>
      <c r="AR142" s="425"/>
    </row>
    <row r="143" spans="1:44" s="421" customFormat="1" ht="11.25">
      <c r="A143" s="416">
        <v>141</v>
      </c>
      <c r="B143" s="277">
        <v>39534</v>
      </c>
      <c r="C143" s="243" t="s">
        <v>118</v>
      </c>
      <c r="D143" s="258" t="s">
        <v>119</v>
      </c>
      <c r="E143" s="242" t="s">
        <v>127</v>
      </c>
      <c r="F143" s="247" t="s">
        <v>14</v>
      </c>
      <c r="G143" s="414">
        <f>VLOOKUP($A143,'Spec Analysis_ScreenSize'!$A$2:$E$142,5,0)</f>
        <v>0.786432</v>
      </c>
      <c r="H143" s="271" t="s">
        <v>151</v>
      </c>
      <c r="I143" s="387">
        <v>15</v>
      </c>
      <c r="J143" s="272">
        <v>11.973543307086615</v>
      </c>
      <c r="K143" s="272">
        <v>8.980157480314961</v>
      </c>
      <c r="L143" s="246">
        <v>107.524304495009</v>
      </c>
      <c r="M143" s="247"/>
      <c r="N143" s="247" t="s">
        <v>186</v>
      </c>
      <c r="O143" s="242" t="s">
        <v>123</v>
      </c>
      <c r="P143" s="242" t="s">
        <v>122</v>
      </c>
      <c r="Q143" s="242"/>
      <c r="R143" s="242"/>
      <c r="S143" s="247" t="s">
        <v>132</v>
      </c>
      <c r="T143" s="242">
        <v>175.7</v>
      </c>
      <c r="U143" s="242">
        <v>4.27</v>
      </c>
      <c r="V143" s="242">
        <v>174</v>
      </c>
      <c r="W143" s="242">
        <v>246.5</v>
      </c>
      <c r="X143" s="242">
        <v>15.9</v>
      </c>
      <c r="Y143" s="242">
        <v>11.8</v>
      </c>
      <c r="Z143" s="242">
        <v>16.4</v>
      </c>
      <c r="AA143" s="242">
        <v>16.3</v>
      </c>
      <c r="AB143" s="242">
        <v>1.1</v>
      </c>
      <c r="AC143" s="242">
        <v>1.1</v>
      </c>
      <c r="AD143" s="247"/>
      <c r="AE143" s="247"/>
      <c r="AF143" s="247"/>
      <c r="AG143" s="247"/>
      <c r="AH143" s="422">
        <f>data2!$C142+data2!$B142*T143</f>
        <v>15.621912199047436</v>
      </c>
      <c r="AI143" s="422">
        <f t="shared" si="10"/>
        <v>15.9</v>
      </c>
      <c r="AJ143" s="423">
        <f t="shared" si="11"/>
        <v>-0.017801137108523803</v>
      </c>
      <c r="AK143" s="422">
        <f>IF(I143&gt;=30,data2!B142*'Proposed Spec Lines'!$E$6+data2!C142,IF(G143&gt;=1.1,data2!B142*'Proposed Spec Lines'!$C$6+data2!C142,data2!B142*'Proposed Spec Lines'!$D$6+data2!C142))</f>
        <v>15.60763140008982</v>
      </c>
      <c r="AL143" s="424">
        <f>IF(I143&gt;=30,'Proposed Spec Lines'!$E$6,IF(G143&gt;=1.1,'Proposed Spec Lines'!$C$6,'Proposed Spec Lines'!$D$6))</f>
        <v>175</v>
      </c>
      <c r="AM143" s="422">
        <f t="shared" si="12"/>
        <v>15.9</v>
      </c>
      <c r="AN143" s="424">
        <f t="shared" si="13"/>
        <v>175.7</v>
      </c>
      <c r="AO143" s="446">
        <f>IF(O143="Y",'Proposed Spec Lines'!$G$6*AM143+'Proposed Spec Lines'!$G$5*Y143,AM143)</f>
        <v>15.9</v>
      </c>
      <c r="AP143" s="445">
        <f>IF(O143="Y",'Proposed Spec Lines'!$G$6*AN143+'Proposed Spec Lines'!$G$5*U143,AN143)</f>
        <v>175.7</v>
      </c>
      <c r="AR143" s="425"/>
    </row>
    <row r="144" spans="1:44" ht="11.25">
      <c r="A144" s="447">
        <v>142</v>
      </c>
      <c r="B144" s="277">
        <v>39534</v>
      </c>
      <c r="C144" s="243" t="s">
        <v>118</v>
      </c>
      <c r="D144" s="258" t="s">
        <v>119</v>
      </c>
      <c r="E144" s="242" t="s">
        <v>127</v>
      </c>
      <c r="F144" s="247" t="s">
        <v>3</v>
      </c>
      <c r="G144" s="414">
        <f>VLOOKUP($A144,'Spec Analysis_ScreenSize'!$A$2:$E$142,5,0)</f>
        <v>1.31072</v>
      </c>
      <c r="H144" s="271" t="s">
        <v>185</v>
      </c>
      <c r="I144" s="387">
        <v>17</v>
      </c>
      <c r="J144" s="247">
        <v>13.3</v>
      </c>
      <c r="K144" s="272">
        <v>10.643149606299215</v>
      </c>
      <c r="L144" s="246">
        <v>141.55388976377955</v>
      </c>
      <c r="M144" s="247"/>
      <c r="N144" s="247" t="s">
        <v>146</v>
      </c>
      <c r="O144" s="242" t="s">
        <v>123</v>
      </c>
      <c r="P144" s="242" t="s">
        <v>122</v>
      </c>
      <c r="Q144" s="242"/>
      <c r="R144" s="242"/>
      <c r="S144" s="247" t="s">
        <v>132</v>
      </c>
      <c r="T144" s="242">
        <v>174.4</v>
      </c>
      <c r="U144" s="242">
        <v>10.74</v>
      </c>
      <c r="V144" s="242">
        <v>172.4</v>
      </c>
      <c r="W144" s="242">
        <v>243.7</v>
      </c>
      <c r="X144" s="242">
        <v>27.4</v>
      </c>
      <c r="Y144" s="242">
        <v>15.5</v>
      </c>
      <c r="Z144" s="242">
        <v>27.9</v>
      </c>
      <c r="AA144" s="242">
        <v>28.4</v>
      </c>
      <c r="AB144" s="242">
        <v>0.7</v>
      </c>
      <c r="AC144" s="242">
        <v>0.6</v>
      </c>
      <c r="AD144" s="247"/>
      <c r="AE144" s="247"/>
      <c r="AF144" s="247"/>
      <c r="AG144" s="247"/>
      <c r="AH144" s="446">
        <f>data2!$C143+data2!$B143*T144</f>
        <v>26.25291561808207</v>
      </c>
      <c r="AI144" s="446">
        <f t="shared" si="10"/>
        <v>27.4</v>
      </c>
      <c r="AJ144" s="457">
        <f t="shared" si="11"/>
        <v>-0.043693599545486565</v>
      </c>
      <c r="AK144" s="446">
        <f>IF(I144&gt;=30,data2!B143*'Proposed Spec Lines'!$E$6+data2!C143,IF(G144&gt;=1.1,data2!B143*'Proposed Spec Lines'!$C$6+data2!C143,data2!B143*'Proposed Spec Lines'!$D$6+data2!C143))</f>
        <v>27.79690232721038</v>
      </c>
      <c r="AL144" s="445">
        <f>IF(I144&gt;=30,'Proposed Spec Lines'!$E$6,IF(G144&gt;=1.1,'Proposed Spec Lines'!$C$6,'Proposed Spec Lines'!$D$6))</f>
        <v>200</v>
      </c>
      <c r="AM144" s="446">
        <f t="shared" si="12"/>
        <v>27.79690232721038</v>
      </c>
      <c r="AN144" s="445">
        <f t="shared" si="13"/>
        <v>200</v>
      </c>
      <c r="AO144" s="446">
        <f>IF(O144="Y",'Proposed Spec Lines'!$G$6*AM144+'Proposed Spec Lines'!$G$5*Y144,AM144)</f>
        <v>27.79690232721038</v>
      </c>
      <c r="AP144" s="445">
        <f>IF(O144="Y",'Proposed Spec Lines'!$G$6*AN144+'Proposed Spec Lines'!$G$5*U144,AN144)</f>
        <v>200</v>
      </c>
      <c r="AR144" s="458"/>
    </row>
    <row r="145" spans="1:44" ht="11.25">
      <c r="A145" s="416">
        <v>143</v>
      </c>
      <c r="B145" s="277">
        <v>39534</v>
      </c>
      <c r="C145" s="243" t="s">
        <v>118</v>
      </c>
      <c r="D145" s="258" t="s">
        <v>119</v>
      </c>
      <c r="E145" s="242" t="s">
        <v>127</v>
      </c>
      <c r="F145" s="247" t="s">
        <v>3</v>
      </c>
      <c r="G145" s="414">
        <f>VLOOKUP($A145,'Spec Analysis_ScreenSize'!$A$2:$E$142,5,0)</f>
        <v>1.31072</v>
      </c>
      <c r="H145" s="271" t="s">
        <v>185</v>
      </c>
      <c r="I145" s="387">
        <v>17</v>
      </c>
      <c r="J145" s="247">
        <v>13.3</v>
      </c>
      <c r="K145" s="272">
        <v>10.643149606299215</v>
      </c>
      <c r="L145" s="246">
        <v>141.55388976377955</v>
      </c>
      <c r="M145" s="247"/>
      <c r="N145" s="247" t="s">
        <v>146</v>
      </c>
      <c r="O145" s="242" t="s">
        <v>123</v>
      </c>
      <c r="P145" s="242" t="s">
        <v>122</v>
      </c>
      <c r="Q145" s="242"/>
      <c r="R145" s="242"/>
      <c r="S145" s="247" t="s">
        <v>132</v>
      </c>
      <c r="T145" s="242">
        <v>174.4</v>
      </c>
      <c r="U145" s="242">
        <v>12.15</v>
      </c>
      <c r="V145" s="242">
        <v>225.9</v>
      </c>
      <c r="W145" s="242">
        <v>303</v>
      </c>
      <c r="X145" s="242">
        <v>22</v>
      </c>
      <c r="Y145" s="242">
        <v>14.2</v>
      </c>
      <c r="Z145" s="242">
        <v>26.4</v>
      </c>
      <c r="AA145" s="242">
        <v>27.4</v>
      </c>
      <c r="AB145" s="242">
        <v>1.2</v>
      </c>
      <c r="AC145" s="242">
        <v>1</v>
      </c>
      <c r="AD145" s="247"/>
      <c r="AE145" s="247"/>
      <c r="AF145" s="247"/>
      <c r="AG145" s="247"/>
      <c r="AH145" s="446">
        <f>data2!$C144+data2!$B144*T145</f>
        <v>22.286118672291053</v>
      </c>
      <c r="AI145" s="446">
        <f t="shared" si="10"/>
        <v>22</v>
      </c>
      <c r="AJ145" s="457">
        <f t="shared" si="11"/>
        <v>0.01283842541172467</v>
      </c>
      <c r="AK145" s="446">
        <f>IF(I145&gt;=30,data2!B144*'Proposed Spec Lines'!$E$6+data2!C144,IF(G145&gt;=1.1,data2!B144*'Proposed Spec Lines'!$C$6+data2!C144,data2!B144*'Proposed Spec Lines'!$D$6+data2!C144))</f>
        <v>23.51309054665498</v>
      </c>
      <c r="AL145" s="445">
        <f>IF(I145&gt;=30,'Proposed Spec Lines'!$E$6,IF(G145&gt;=1.1,'Proposed Spec Lines'!$C$6,'Proposed Spec Lines'!$D$6))</f>
        <v>200</v>
      </c>
      <c r="AM145" s="446">
        <f t="shared" si="12"/>
        <v>23.51309054665498</v>
      </c>
      <c r="AN145" s="445">
        <f t="shared" si="13"/>
        <v>200</v>
      </c>
      <c r="AO145" s="446">
        <f>IF(O145="Y",'Proposed Spec Lines'!$G$6*AM145+'Proposed Spec Lines'!$G$5*Y145,AM145)</f>
        <v>23.51309054665498</v>
      </c>
      <c r="AP145" s="445">
        <f>IF(O145="Y",'Proposed Spec Lines'!$G$6*AN145+'Proposed Spec Lines'!$G$5*U145,AN145)</f>
        <v>200</v>
      </c>
      <c r="AR145" s="458"/>
    </row>
    <row r="146" spans="1:44" ht="11.25">
      <c r="A146" s="416">
        <v>144</v>
      </c>
      <c r="B146" s="277">
        <v>39534</v>
      </c>
      <c r="C146" s="243" t="s">
        <v>118</v>
      </c>
      <c r="D146" s="258" t="s">
        <v>119</v>
      </c>
      <c r="E146" s="242" t="s">
        <v>127</v>
      </c>
      <c r="F146" s="247" t="s">
        <v>3</v>
      </c>
      <c r="G146" s="414">
        <f>VLOOKUP($A146,'Spec Analysis_ScreenSize'!$A$2:$E$142,5,0)</f>
        <v>1.31072</v>
      </c>
      <c r="H146" s="271" t="s">
        <v>185</v>
      </c>
      <c r="I146" s="387">
        <v>17</v>
      </c>
      <c r="J146" s="272">
        <v>14.114173228346457</v>
      </c>
      <c r="K146" s="272">
        <v>11.673228346456694</v>
      </c>
      <c r="L146" s="246">
        <v>164.75796701593407</v>
      </c>
      <c r="M146" s="247"/>
      <c r="N146" s="247" t="s">
        <v>146</v>
      </c>
      <c r="O146" s="242" t="s">
        <v>123</v>
      </c>
      <c r="P146" s="242" t="s">
        <v>122</v>
      </c>
      <c r="Q146" s="242"/>
      <c r="R146" s="247"/>
      <c r="S146" s="247" t="s">
        <v>132</v>
      </c>
      <c r="T146" s="247">
        <v>175.6</v>
      </c>
      <c r="U146" s="247">
        <v>9.79</v>
      </c>
      <c r="V146" s="242">
        <v>251.3</v>
      </c>
      <c r="W146" s="242">
        <v>287.1</v>
      </c>
      <c r="X146" s="247">
        <v>21.1</v>
      </c>
      <c r="Y146" s="247">
        <v>14.9</v>
      </c>
      <c r="Z146" s="247">
        <v>26.5</v>
      </c>
      <c r="AA146" s="247">
        <v>27.3</v>
      </c>
      <c r="AB146" s="247">
        <v>0.9</v>
      </c>
      <c r="AC146" s="247">
        <v>0.8</v>
      </c>
      <c r="AD146" s="247"/>
      <c r="AE146" s="247"/>
      <c r="AF146" s="247"/>
      <c r="AG146" s="247"/>
      <c r="AH146" s="446">
        <f>data2!$C145+data2!$B145*T146</f>
        <v>22.203507143222616</v>
      </c>
      <c r="AI146" s="446">
        <f t="shared" si="10"/>
        <v>21.1</v>
      </c>
      <c r="AJ146" s="457">
        <f t="shared" si="11"/>
        <v>0.04969967744755353</v>
      </c>
      <c r="AK146" s="446">
        <f>IF(I146&gt;=30,data2!B145*'Proposed Spec Lines'!$E$6+data2!C145,IF(G146&gt;=1.1,data2!B145*'Proposed Spec Lines'!$C$6+data2!C145,data2!B145*'Proposed Spec Lines'!$D$6+data2!C145))</f>
        <v>23.32822443267903</v>
      </c>
      <c r="AL146" s="445">
        <f>IF(I146&gt;=30,'Proposed Spec Lines'!$E$6,IF(G146&gt;=1.1,'Proposed Spec Lines'!$C$6,'Proposed Spec Lines'!$D$6))</f>
        <v>200</v>
      </c>
      <c r="AM146" s="446">
        <f t="shared" si="12"/>
        <v>23.32822443267903</v>
      </c>
      <c r="AN146" s="445">
        <f t="shared" si="13"/>
        <v>200</v>
      </c>
      <c r="AO146" s="446">
        <f>IF(O146="Y",'Proposed Spec Lines'!$G$6*AM146+'Proposed Spec Lines'!$G$5*Y146,AM146)</f>
        <v>23.32822443267903</v>
      </c>
      <c r="AP146" s="445">
        <f>IF(O146="Y",'Proposed Spec Lines'!$G$6*AN146+'Proposed Spec Lines'!$G$5*U146,AN146)</f>
        <v>200</v>
      </c>
      <c r="AR146" s="458"/>
    </row>
    <row r="147" spans="1:44" ht="11.25">
      <c r="A147" s="447">
        <v>145</v>
      </c>
      <c r="B147" s="277">
        <v>39534</v>
      </c>
      <c r="C147" s="243" t="s">
        <v>118</v>
      </c>
      <c r="D147" s="258" t="s">
        <v>119</v>
      </c>
      <c r="E147" s="242" t="s">
        <v>127</v>
      </c>
      <c r="F147" s="247" t="s">
        <v>3</v>
      </c>
      <c r="G147" s="414">
        <f>VLOOKUP($A147,'Spec Analysis_ScreenSize'!$A$2:$E$142,5,0)</f>
        <v>1.31072</v>
      </c>
      <c r="H147" s="271" t="s">
        <v>185</v>
      </c>
      <c r="I147" s="387">
        <v>17</v>
      </c>
      <c r="J147" s="272">
        <v>13.303937007874017</v>
      </c>
      <c r="K147" s="272">
        <v>10.643149606299215</v>
      </c>
      <c r="L147" s="246">
        <v>141.5957919275839</v>
      </c>
      <c r="M147" s="247"/>
      <c r="N147" s="247" t="s">
        <v>146</v>
      </c>
      <c r="O147" s="242" t="s">
        <v>123</v>
      </c>
      <c r="P147" s="242" t="s">
        <v>122</v>
      </c>
      <c r="Q147" s="242"/>
      <c r="R147" s="242"/>
      <c r="S147" s="247" t="s">
        <v>132</v>
      </c>
      <c r="T147" s="242">
        <v>175.4</v>
      </c>
      <c r="U147" s="242">
        <v>8.15</v>
      </c>
      <c r="V147" s="242">
        <v>182.8</v>
      </c>
      <c r="W147" s="242">
        <v>210.1</v>
      </c>
      <c r="X147" s="242">
        <v>24</v>
      </c>
      <c r="Y147" s="242">
        <v>13.9</v>
      </c>
      <c r="Z147" s="242">
        <v>25.1</v>
      </c>
      <c r="AA147" s="242">
        <v>25.6</v>
      </c>
      <c r="AB147" s="242">
        <v>1.2</v>
      </c>
      <c r="AC147" s="242">
        <v>1</v>
      </c>
      <c r="AD147" s="247"/>
      <c r="AE147" s="247"/>
      <c r="AF147" s="247"/>
      <c r="AG147" s="247"/>
      <c r="AH147" s="446">
        <f>data2!$C146+data2!$B146*T147</f>
        <v>24.030229218922756</v>
      </c>
      <c r="AI147" s="446">
        <f t="shared" si="10"/>
        <v>24</v>
      </c>
      <c r="AJ147" s="457">
        <f t="shared" si="11"/>
        <v>0.0012579663159830192</v>
      </c>
      <c r="AK147" s="446">
        <f>IF(I147&gt;=30,data2!B146*'Proposed Spec Lines'!$E$6+data2!C146,IF(G147&gt;=1.1,data2!B146*'Proposed Spec Lines'!$C$6+data2!C146,data2!B146*'Proposed Spec Lines'!$D$6+data2!C146))</f>
        <v>25.508571649142482</v>
      </c>
      <c r="AL147" s="445">
        <f>IF(I147&gt;=30,'Proposed Spec Lines'!$E$6,IF(G147&gt;=1.1,'Proposed Spec Lines'!$C$6,'Proposed Spec Lines'!$D$6))</f>
        <v>200</v>
      </c>
      <c r="AM147" s="446">
        <f t="shared" si="12"/>
        <v>25.508571649142482</v>
      </c>
      <c r="AN147" s="445">
        <f t="shared" si="13"/>
        <v>200</v>
      </c>
      <c r="AO147" s="446">
        <f>IF(O147="Y",'Proposed Spec Lines'!$G$6*AM147+'Proposed Spec Lines'!$G$5*Y147,AM147)</f>
        <v>25.508571649142482</v>
      </c>
      <c r="AP147" s="445">
        <f>IF(O147="Y",'Proposed Spec Lines'!$G$6*AN147+'Proposed Spec Lines'!$G$5*U147,AN147)</f>
        <v>200</v>
      </c>
      <c r="AR147" s="458"/>
    </row>
    <row r="148" spans="1:44" ht="11.25">
      <c r="A148" s="416">
        <v>146</v>
      </c>
      <c r="B148" s="277">
        <v>39534</v>
      </c>
      <c r="C148" s="243" t="s">
        <v>118</v>
      </c>
      <c r="D148" s="258" t="s">
        <v>119</v>
      </c>
      <c r="E148" s="242" t="s">
        <v>127</v>
      </c>
      <c r="F148" s="247" t="s">
        <v>3</v>
      </c>
      <c r="G148" s="414">
        <f>VLOOKUP($A148,'Spec Analysis_ScreenSize'!$A$2:$E$142,5,0)</f>
        <v>1.31072</v>
      </c>
      <c r="H148" s="271" t="s">
        <v>185</v>
      </c>
      <c r="I148" s="387">
        <v>19</v>
      </c>
      <c r="J148" s="272">
        <v>14.815748031496064</v>
      </c>
      <c r="K148" s="272">
        <v>11.852755905511811</v>
      </c>
      <c r="L148" s="246">
        <v>175.60744497488997</v>
      </c>
      <c r="M148" s="247"/>
      <c r="N148" s="247" t="s">
        <v>146</v>
      </c>
      <c r="O148" s="242" t="s">
        <v>123</v>
      </c>
      <c r="P148" s="242" t="s">
        <v>122</v>
      </c>
      <c r="Q148" s="242"/>
      <c r="R148" s="247"/>
      <c r="S148" s="247" t="s">
        <v>132</v>
      </c>
      <c r="T148" s="247">
        <v>174.3</v>
      </c>
      <c r="U148" s="247">
        <v>16</v>
      </c>
      <c r="V148" s="247">
        <v>254</v>
      </c>
      <c r="W148" s="247">
        <v>320</v>
      </c>
      <c r="X148" s="247">
        <v>25.3</v>
      </c>
      <c r="Y148" s="247">
        <v>17.5</v>
      </c>
      <c r="Z148" s="247">
        <v>32.7</v>
      </c>
      <c r="AA148" s="247">
        <v>32.4</v>
      </c>
      <c r="AB148" s="247">
        <v>0.8</v>
      </c>
      <c r="AC148" s="247">
        <v>0.7</v>
      </c>
      <c r="AD148" s="247"/>
      <c r="AE148" s="247"/>
      <c r="AF148" s="247"/>
      <c r="AG148" s="247"/>
      <c r="AH148" s="446">
        <f>data2!$C147+data2!$B147*T148</f>
        <v>26.08059670049041</v>
      </c>
      <c r="AI148" s="446">
        <f>X148</f>
        <v>25.3</v>
      </c>
      <c r="AJ148" s="457">
        <f>(AH148-AI148)/AH148</f>
        <v>0.029930170289230066</v>
      </c>
      <c r="AK148" s="446">
        <f>IF(I148&gt;=30,data2!B147*'Proposed Spec Lines'!$E$6+data2!C147,IF(G148&gt;=1.1,data2!B147*'Proposed Spec Lines'!$C$6+data2!C147,data2!B147*'Proposed Spec Lines'!$D$6+data2!C147))</f>
        <v>27.450859877682454</v>
      </c>
      <c r="AL148" s="445">
        <f>IF(I148&gt;=30,'Proposed Spec Lines'!$E$6,IF(G148&gt;=1.1,'Proposed Spec Lines'!$C$6,'Proposed Spec Lines'!$D$6))</f>
        <v>200</v>
      </c>
      <c r="AM148" s="446">
        <f t="shared" si="12"/>
        <v>27.450859877682454</v>
      </c>
      <c r="AN148" s="445">
        <f t="shared" si="13"/>
        <v>200</v>
      </c>
      <c r="AO148" s="446">
        <f>IF(O148="Y",'Proposed Spec Lines'!$G$6*AM148+'Proposed Spec Lines'!$G$5*Y148,AM148)</f>
        <v>27.450859877682454</v>
      </c>
      <c r="AP148" s="445">
        <f>IF(O148="Y",'Proposed Spec Lines'!$G$6*AN148+'Proposed Spec Lines'!$G$5*U148,AN148)</f>
        <v>200</v>
      </c>
      <c r="AR148" s="458"/>
    </row>
    <row r="149" spans="1:44" ht="11.25">
      <c r="A149" s="416">
        <v>147</v>
      </c>
      <c r="B149" s="277">
        <v>39534</v>
      </c>
      <c r="C149" s="243" t="s">
        <v>118</v>
      </c>
      <c r="D149" s="258" t="s">
        <v>119</v>
      </c>
      <c r="E149" s="242" t="s">
        <v>127</v>
      </c>
      <c r="F149" s="247" t="s">
        <v>3</v>
      </c>
      <c r="G149" s="414">
        <f>VLOOKUP($A149,'Spec Analysis_ScreenSize'!$A$2:$E$142,5,0)</f>
        <v>1.31072</v>
      </c>
      <c r="H149" s="271" t="s">
        <v>185</v>
      </c>
      <c r="I149" s="387">
        <v>19</v>
      </c>
      <c r="J149" s="272">
        <v>14.815748031496064</v>
      </c>
      <c r="K149" s="272">
        <v>11.852755905511811</v>
      </c>
      <c r="L149" s="246">
        <v>175.60744497488997</v>
      </c>
      <c r="M149" s="247"/>
      <c r="N149" s="247" t="s">
        <v>146</v>
      </c>
      <c r="O149" s="242" t="s">
        <v>123</v>
      </c>
      <c r="P149" s="242" t="s">
        <v>122</v>
      </c>
      <c r="Q149" s="242"/>
      <c r="R149" s="247"/>
      <c r="S149" s="247" t="s">
        <v>132</v>
      </c>
      <c r="T149" s="247">
        <v>174.9</v>
      </c>
      <c r="U149" s="247">
        <v>11.5</v>
      </c>
      <c r="V149" s="247">
        <v>211</v>
      </c>
      <c r="W149" s="247">
        <v>242.5</v>
      </c>
      <c r="X149" s="247">
        <v>27</v>
      </c>
      <c r="Y149" s="247">
        <v>16.7</v>
      </c>
      <c r="Z149" s="247">
        <v>31.5</v>
      </c>
      <c r="AA149" s="247">
        <v>31.6</v>
      </c>
      <c r="AB149" s="247">
        <v>1</v>
      </c>
      <c r="AC149" s="247">
        <v>0.7</v>
      </c>
      <c r="AD149" s="247"/>
      <c r="AE149" s="247"/>
      <c r="AF149" s="247"/>
      <c r="AG149" s="247"/>
      <c r="AH149" s="446">
        <f>data2!$C148+data2!$B148*T149</f>
        <v>27.707446094539534</v>
      </c>
      <c r="AI149" s="446">
        <f>X149</f>
        <v>27</v>
      </c>
      <c r="AJ149" s="457">
        <f>(AH149-AI149)/AH149</f>
        <v>0.025532706700057604</v>
      </c>
      <c r="AK149" s="446">
        <f>IF(I149&gt;=30,data2!B148*'Proposed Spec Lines'!$E$6+data2!C148,IF(G149&gt;=1.1,data2!B148*'Proposed Spec Lines'!$C$6+data2!C148,data2!B148*'Proposed Spec Lines'!$D$6+data2!C148))</f>
        <v>29.401710548338016</v>
      </c>
      <c r="AL149" s="445">
        <f>IF(I149&gt;=30,'Proposed Spec Lines'!$E$6,IF(G149&gt;=1.1,'Proposed Spec Lines'!$C$6,'Proposed Spec Lines'!$D$6))</f>
        <v>200</v>
      </c>
      <c r="AM149" s="446">
        <f t="shared" si="12"/>
        <v>29.401710548338016</v>
      </c>
      <c r="AN149" s="445">
        <f t="shared" si="13"/>
        <v>200</v>
      </c>
      <c r="AO149" s="446">
        <f>IF(O149="Y",'Proposed Spec Lines'!$G$6*AM149+'Proposed Spec Lines'!$G$5*Y149,AM149)</f>
        <v>29.401710548338016</v>
      </c>
      <c r="AP149" s="445">
        <f>IF(O149="Y",'Proposed Spec Lines'!$G$6*AN149+'Proposed Spec Lines'!$G$5*U149,AN149)</f>
        <v>200</v>
      </c>
      <c r="AR149" s="458"/>
    </row>
    <row r="150" spans="1:44" ht="11.25">
      <c r="A150" s="447">
        <v>148</v>
      </c>
      <c r="B150" s="277">
        <v>39534</v>
      </c>
      <c r="C150" s="243" t="s">
        <v>118</v>
      </c>
      <c r="D150" s="258" t="s">
        <v>119</v>
      </c>
      <c r="E150" s="242" t="s">
        <v>127</v>
      </c>
      <c r="F150" s="247" t="s">
        <v>3</v>
      </c>
      <c r="G150" s="414">
        <f>VLOOKUP($A150,'Spec Analysis_ScreenSize'!$A$2:$E$142,5,0)</f>
        <v>1.31072</v>
      </c>
      <c r="H150" s="271" t="s">
        <v>185</v>
      </c>
      <c r="I150" s="387">
        <v>19</v>
      </c>
      <c r="J150" s="272">
        <v>15.590551181102363</v>
      </c>
      <c r="K150" s="272">
        <v>12.755905511811024</v>
      </c>
      <c r="L150" s="246">
        <v>198.8715977431955</v>
      </c>
      <c r="M150" s="247"/>
      <c r="N150" s="247" t="s">
        <v>146</v>
      </c>
      <c r="O150" s="242" t="s">
        <v>123</v>
      </c>
      <c r="P150" s="242" t="s">
        <v>122</v>
      </c>
      <c r="Q150" s="242"/>
      <c r="R150" s="247"/>
      <c r="S150" s="247" t="s">
        <v>132</v>
      </c>
      <c r="T150" s="247">
        <v>175.2</v>
      </c>
      <c r="U150" s="247">
        <v>12.9</v>
      </c>
      <c r="V150" s="247">
        <v>227</v>
      </c>
      <c r="W150" s="247">
        <v>302.7</v>
      </c>
      <c r="X150" s="247">
        <v>26.5</v>
      </c>
      <c r="Y150" s="247">
        <v>17.1</v>
      </c>
      <c r="Z150" s="247">
        <v>31.7</v>
      </c>
      <c r="AA150" s="247">
        <v>31.8</v>
      </c>
      <c r="AB150" s="247">
        <v>0.9</v>
      </c>
      <c r="AC150" s="247">
        <v>0.7</v>
      </c>
      <c r="AD150" s="247"/>
      <c r="AE150" s="247"/>
      <c r="AF150" s="247"/>
      <c r="AG150" s="247"/>
      <c r="AH150" s="446">
        <f>data2!$C149+data2!$B149*T150</f>
        <v>26.543169109900276</v>
      </c>
      <c r="AI150" s="446">
        <f>X150</f>
        <v>26.5</v>
      </c>
      <c r="AJ150" s="457">
        <f>(AH150-AI150)/AH150</f>
        <v>0.0016263736150546801</v>
      </c>
      <c r="AK150" s="446">
        <f>IF(I150&gt;=30,data2!B149*'Proposed Spec Lines'!$E$6+data2!C149,IF(G150&gt;=1.1,data2!B149*'Proposed Spec Lines'!$C$6+data2!C149,data2!B149*'Proposed Spec Lines'!$D$6+data2!C149))</f>
        <v>27.89597053918807</v>
      </c>
      <c r="AL150" s="445">
        <f>IF(I150&gt;=30,'Proposed Spec Lines'!$E$6,IF(G150&gt;=1.1,'Proposed Spec Lines'!$C$6,'Proposed Spec Lines'!$D$6))</f>
        <v>200</v>
      </c>
      <c r="AM150" s="446">
        <f t="shared" si="12"/>
        <v>27.89597053918807</v>
      </c>
      <c r="AN150" s="445">
        <f t="shared" si="13"/>
        <v>200</v>
      </c>
      <c r="AO150" s="446">
        <f>IF(O150="Y",'Proposed Spec Lines'!$G$6*AM150+'Proposed Spec Lines'!$G$5*Y150,AM150)</f>
        <v>27.89597053918807</v>
      </c>
      <c r="AP150" s="445">
        <f>IF(O150="Y",'Proposed Spec Lines'!$G$6*AN150+'Proposed Spec Lines'!$G$5*U150,AN150)</f>
        <v>200</v>
      </c>
      <c r="AR150" s="458"/>
    </row>
    <row r="151" spans="1:44" ht="11.25">
      <c r="A151" s="416">
        <v>149</v>
      </c>
      <c r="B151" s="277">
        <v>39534</v>
      </c>
      <c r="C151" s="243" t="s">
        <v>118</v>
      </c>
      <c r="D151" s="258" t="s">
        <v>119</v>
      </c>
      <c r="E151" s="242" t="s">
        <v>127</v>
      </c>
      <c r="F151" s="247" t="s">
        <v>3</v>
      </c>
      <c r="G151" s="414">
        <f>VLOOKUP($A151,'Spec Analysis_ScreenSize'!$A$2:$E$142,5,0)</f>
        <v>1.31072</v>
      </c>
      <c r="H151" s="271" t="s">
        <v>185</v>
      </c>
      <c r="I151" s="387">
        <v>19</v>
      </c>
      <c r="J151" s="272">
        <v>14.815748031496064</v>
      </c>
      <c r="K151" s="272">
        <v>11.85259842519685</v>
      </c>
      <c r="L151" s="246">
        <v>175.60511178622357</v>
      </c>
      <c r="M151" s="247"/>
      <c r="N151" s="247" t="s">
        <v>146</v>
      </c>
      <c r="O151" s="242" t="s">
        <v>123</v>
      </c>
      <c r="P151" s="242" t="s">
        <v>122</v>
      </c>
      <c r="Q151" s="242"/>
      <c r="R151" s="247"/>
      <c r="S151" s="247" t="s">
        <v>132</v>
      </c>
      <c r="T151" s="247">
        <v>175.5</v>
      </c>
      <c r="U151" s="247">
        <v>8.7</v>
      </c>
      <c r="V151" s="247">
        <v>187</v>
      </c>
      <c r="W151" s="247">
        <v>280</v>
      </c>
      <c r="X151" s="247">
        <v>22.5</v>
      </c>
      <c r="Y151" s="247">
        <v>16.4</v>
      </c>
      <c r="Z151" s="247">
        <v>31</v>
      </c>
      <c r="AA151" s="247">
        <v>31.5</v>
      </c>
      <c r="AB151" s="247">
        <v>0.8</v>
      </c>
      <c r="AC151" s="247">
        <v>0.65</v>
      </c>
      <c r="AD151" s="247"/>
      <c r="AE151" s="247"/>
      <c r="AF151" s="247"/>
      <c r="AG151" s="247"/>
      <c r="AH151" s="461">
        <f>data2!$C150+data2!$B150*T151</f>
        <v>26.08101710769514</v>
      </c>
      <c r="AI151" s="461">
        <f>X151</f>
        <v>22.5</v>
      </c>
      <c r="AJ151" s="462">
        <f>(AH151-AI151)/AH151</f>
        <v>0.13730358340352336</v>
      </c>
      <c r="AK151" s="446">
        <f>IF(I151&gt;=30,data2!B150*'Proposed Spec Lines'!$E$6+data2!C150,IF(G151&gt;=1.1,data2!B150*'Proposed Spec Lines'!$C$6+data2!C150,data2!B150*'Proposed Spec Lines'!$D$6+data2!C150))</f>
        <v>27.491246961122773</v>
      </c>
      <c r="AL151" s="445">
        <f>IF(I151&gt;=30,'Proposed Spec Lines'!$E$6,IF(G151&gt;=1.1,'Proposed Spec Lines'!$C$6,'Proposed Spec Lines'!$D$6))</f>
        <v>200</v>
      </c>
      <c r="AM151" s="446">
        <f t="shared" si="12"/>
        <v>27.491246961122773</v>
      </c>
      <c r="AN151" s="445">
        <f t="shared" si="13"/>
        <v>200</v>
      </c>
      <c r="AO151" s="446">
        <f>IF(O151="Y",'Proposed Spec Lines'!$G$6*AM151+'Proposed Spec Lines'!$G$5*Y151,AM151)</f>
        <v>27.491246961122773</v>
      </c>
      <c r="AP151" s="445">
        <f>IF(O151="Y",'Proposed Spec Lines'!$G$6*AN151+'Proposed Spec Lines'!$G$5*U151,AN151)</f>
        <v>200</v>
      </c>
      <c r="AR151" s="458"/>
    </row>
    <row r="152" spans="1:36" ht="11.25">
      <c r="A152" s="444" t="s">
        <v>65</v>
      </c>
      <c r="AJ152" s="487">
        <f>AVERAGE(AJ3:AJ151)</f>
        <v>0.015886424870719826</v>
      </c>
    </row>
    <row r="153" ht="11.25">
      <c r="A153" s="444" t="s">
        <v>271</v>
      </c>
    </row>
    <row r="154" ht="11.25">
      <c r="A154" s="444" t="s">
        <v>272</v>
      </c>
    </row>
    <row r="155" ht="11.25">
      <c r="A155" s="482" t="s">
        <v>273</v>
      </c>
    </row>
    <row r="156" ht="11.25">
      <c r="A156" s="483" t="s">
        <v>274</v>
      </c>
    </row>
    <row r="157" ht="11.25">
      <c r="A157" s="484" t="s">
        <v>275</v>
      </c>
    </row>
  </sheetData>
  <sheetProtection/>
  <mergeCells count="1">
    <mergeCell ref="B1:C1"/>
  </mergeCells>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12"/>
  <dimension ref="A1:C150"/>
  <sheetViews>
    <sheetView workbookViewId="0" topLeftCell="A1">
      <selection activeCell="B34" sqref="B34:C34"/>
    </sheetView>
  </sheetViews>
  <sheetFormatPr defaultColWidth="9.140625" defaultRowHeight="12.75"/>
  <cols>
    <col min="1" max="1" width="14.421875" style="0" customWidth="1"/>
    <col min="2" max="2" width="11.28125" style="395" customWidth="1"/>
    <col min="3" max="3" width="9.140625" style="19" customWidth="1"/>
  </cols>
  <sheetData>
    <row r="1" spans="1:3" ht="12.75">
      <c r="A1" t="s">
        <v>261</v>
      </c>
      <c r="B1" s="395" t="s">
        <v>259</v>
      </c>
      <c r="C1" s="19" t="s">
        <v>260</v>
      </c>
    </row>
    <row r="2" spans="1:3" ht="12.75">
      <c r="A2">
        <v>1</v>
      </c>
      <c r="B2" s="395">
        <v>0.13980813049393023</v>
      </c>
      <c r="C2" s="19">
        <v>33.18134361974161</v>
      </c>
    </row>
    <row r="3" spans="1:3" ht="12.75">
      <c r="A3">
        <f>A2+1</f>
        <v>2</v>
      </c>
      <c r="B3" s="395">
        <v>0.09686780700794544</v>
      </c>
      <c r="C3" s="19">
        <v>16.021383559364928</v>
      </c>
    </row>
    <row r="4" spans="1:3" ht="12.75">
      <c r="A4">
        <f aca="true" t="shared" si="0" ref="A4:A67">A3+1</f>
        <v>3</v>
      </c>
      <c r="B4" s="395">
        <v>0.003879719612667357</v>
      </c>
      <c r="C4" s="19">
        <v>38.719082506531606</v>
      </c>
    </row>
    <row r="5" spans="1:3" ht="12.75">
      <c r="A5">
        <f t="shared" si="0"/>
        <v>4</v>
      </c>
      <c r="B5" s="395">
        <v>0.003267466220491222</v>
      </c>
      <c r="C5" s="19">
        <v>17.377202311488553</v>
      </c>
    </row>
    <row r="6" spans="1:3" ht="12.75">
      <c r="A6">
        <f t="shared" si="0"/>
        <v>5</v>
      </c>
      <c r="B6" s="395">
        <v>0.007675803627567824</v>
      </c>
      <c r="C6" s="19">
        <v>30.237962585635067</v>
      </c>
    </row>
    <row r="7" spans="1:3" ht="12.75">
      <c r="A7">
        <f t="shared" si="0"/>
        <v>6</v>
      </c>
      <c r="B7" s="395">
        <v>0.020000461833208562</v>
      </c>
      <c r="C7" s="19">
        <v>24.814425864224194</v>
      </c>
    </row>
    <row r="8" spans="1:3" ht="12.75">
      <c r="A8">
        <f t="shared" si="0"/>
        <v>7</v>
      </c>
      <c r="B8" s="395">
        <v>0.0007466374103122824</v>
      </c>
      <c r="C8" s="19">
        <v>32.63301748182125</v>
      </c>
    </row>
    <row r="9" spans="1:3" ht="12.75">
      <c r="A9">
        <f t="shared" si="0"/>
        <v>8</v>
      </c>
      <c r="B9" s="395">
        <v>0.0061994423938826915</v>
      </c>
      <c r="C9" s="19">
        <v>34.536578072215406</v>
      </c>
    </row>
    <row r="10" spans="1:3" ht="12.75">
      <c r="A10">
        <f t="shared" si="0"/>
        <v>9</v>
      </c>
      <c r="B10" s="395">
        <v>0.019744904518451144</v>
      </c>
      <c r="C10" s="19">
        <v>27.816195420739984</v>
      </c>
    </row>
    <row r="11" spans="1:3" ht="12.75">
      <c r="A11">
        <f t="shared" si="0"/>
        <v>10</v>
      </c>
      <c r="B11" s="395">
        <v>0.004786780414498999</v>
      </c>
      <c r="C11" s="19">
        <v>41.082686402013415</v>
      </c>
    </row>
    <row r="12" spans="1:3" ht="12.75">
      <c r="A12">
        <f t="shared" si="0"/>
        <v>11</v>
      </c>
      <c r="B12" s="395">
        <v>0.06304748945661628</v>
      </c>
      <c r="C12" s="19">
        <v>48.954125975951925</v>
      </c>
    </row>
    <row r="13" spans="1:3" ht="12.75">
      <c r="A13">
        <f t="shared" si="0"/>
        <v>12</v>
      </c>
      <c r="B13" s="395">
        <v>0.0075387260022597305</v>
      </c>
      <c r="C13" s="19">
        <v>27.584963218866285</v>
      </c>
    </row>
    <row r="14" spans="1:3" ht="12.75">
      <c r="A14">
        <f t="shared" si="0"/>
        <v>13</v>
      </c>
      <c r="B14" s="395">
        <v>0.002794871824497011</v>
      </c>
      <c r="C14" s="19">
        <v>19.62324422664318</v>
      </c>
    </row>
    <row r="15" spans="1:3" ht="12.75">
      <c r="A15">
        <f t="shared" si="0"/>
        <v>14</v>
      </c>
      <c r="B15" s="395">
        <v>0.006263744909139394</v>
      </c>
      <c r="C15" s="19">
        <v>35.64819779655817</v>
      </c>
    </row>
    <row r="16" spans="1:3" ht="12.75">
      <c r="A16">
        <f t="shared" si="0"/>
        <v>15</v>
      </c>
      <c r="B16" s="395">
        <v>0.02343034518957152</v>
      </c>
      <c r="C16" s="19">
        <v>28.41911566611169</v>
      </c>
    </row>
    <row r="17" spans="1:3" ht="12.75">
      <c r="A17">
        <f t="shared" si="0"/>
        <v>16</v>
      </c>
      <c r="B17" s="395">
        <v>0.16780525353603387</v>
      </c>
      <c r="C17" s="19">
        <v>33.38380640815934</v>
      </c>
    </row>
    <row r="18" spans="1:3" ht="12.75">
      <c r="A18">
        <f t="shared" si="0"/>
        <v>17</v>
      </c>
      <c r="B18" s="395">
        <v>0.20439037874808302</v>
      </c>
      <c r="C18" s="19">
        <v>22.3973171170336</v>
      </c>
    </row>
    <row r="19" spans="1:3" ht="12.75">
      <c r="A19">
        <f t="shared" si="0"/>
        <v>18</v>
      </c>
      <c r="B19" s="395">
        <v>0.10029188025902472</v>
      </c>
      <c r="C19" s="19">
        <v>12.387702112848586</v>
      </c>
    </row>
    <row r="20" spans="1:3" ht="12.75">
      <c r="A20">
        <f t="shared" si="0"/>
        <v>19</v>
      </c>
      <c r="B20" s="395">
        <v>0.09930066995293695</v>
      </c>
      <c r="C20" s="19">
        <v>16.50129263983613</v>
      </c>
    </row>
    <row r="21" spans="1:3" ht="12.75">
      <c r="A21">
        <f t="shared" si="0"/>
        <v>20</v>
      </c>
      <c r="B21" s="395">
        <v>0.1764471927085405</v>
      </c>
      <c r="C21" s="19">
        <v>13.635208739525488</v>
      </c>
    </row>
    <row r="22" spans="1:3" ht="12.75">
      <c r="A22">
        <f t="shared" si="0"/>
        <v>21</v>
      </c>
      <c r="B22" s="395">
        <v>0.144810054477558</v>
      </c>
      <c r="C22" s="19">
        <v>16.939673285608315</v>
      </c>
    </row>
    <row r="23" spans="1:3" ht="12.75">
      <c r="A23">
        <f t="shared" si="0"/>
        <v>22</v>
      </c>
      <c r="B23" s="395">
        <v>0.08917769884834778</v>
      </c>
      <c r="C23" s="19">
        <v>11.854504359057167</v>
      </c>
    </row>
    <row r="24" spans="1:3" ht="12.75">
      <c r="A24">
        <f t="shared" si="0"/>
        <v>23</v>
      </c>
      <c r="B24" s="395">
        <v>0.08170242986861459</v>
      </c>
      <c r="C24" s="19">
        <v>13.314842997007057</v>
      </c>
    </row>
    <row r="25" spans="1:3" ht="12.75">
      <c r="A25">
        <f t="shared" si="0"/>
        <v>24</v>
      </c>
      <c r="B25" s="395">
        <v>0.06972207112678254</v>
      </c>
      <c r="C25" s="19">
        <v>9.639824746844786</v>
      </c>
    </row>
    <row r="26" spans="1:3" ht="12.75">
      <c r="A26">
        <f t="shared" si="0"/>
        <v>25</v>
      </c>
      <c r="B26" s="395">
        <v>0.03455047899778927</v>
      </c>
      <c r="C26" s="19">
        <v>9.377822402358138</v>
      </c>
    </row>
    <row r="27" spans="1:3" ht="12.75">
      <c r="A27">
        <f t="shared" si="0"/>
        <v>26</v>
      </c>
      <c r="B27" s="395">
        <v>0.03828665941924961</v>
      </c>
      <c r="C27" s="19">
        <v>8.817589767549318</v>
      </c>
    </row>
    <row r="28" spans="1:3" ht="12.75">
      <c r="A28">
        <f t="shared" si="0"/>
        <v>27</v>
      </c>
      <c r="B28" s="395">
        <v>0.07755768134114699</v>
      </c>
      <c r="C28" s="19">
        <v>11.126538853659635</v>
      </c>
    </row>
    <row r="29" spans="1:3" ht="12.75">
      <c r="A29">
        <f t="shared" si="0"/>
        <v>28</v>
      </c>
      <c r="B29" s="395">
        <v>0.043285633943635556</v>
      </c>
      <c r="C29" s="19">
        <v>8.516442229581955</v>
      </c>
    </row>
    <row r="30" spans="1:3" ht="12.75">
      <c r="A30">
        <f t="shared" si="0"/>
        <v>29</v>
      </c>
      <c r="B30" s="395">
        <v>0.047842526013604614</v>
      </c>
      <c r="C30" s="19">
        <v>8.883908761157494</v>
      </c>
    </row>
    <row r="31" spans="1:3" ht="12.75">
      <c r="A31">
        <f t="shared" si="0"/>
        <v>30</v>
      </c>
      <c r="B31" s="395">
        <v>0.04745031934193767</v>
      </c>
      <c r="C31" s="19">
        <v>11.227618484429673</v>
      </c>
    </row>
    <row r="32" spans="1:3" ht="12.75">
      <c r="A32">
        <f t="shared" si="0"/>
        <v>31</v>
      </c>
      <c r="B32" s="395">
        <v>0.05389772855685735</v>
      </c>
      <c r="C32" s="19">
        <v>17.246101743142795</v>
      </c>
    </row>
    <row r="33" spans="1:3" ht="12.75">
      <c r="A33">
        <f t="shared" si="0"/>
        <v>32</v>
      </c>
      <c r="B33" s="395">
        <v>0.04768653531845554</v>
      </c>
      <c r="C33" s="19">
        <v>10.586325662827207</v>
      </c>
    </row>
    <row r="34" spans="1:3" ht="12.75">
      <c r="A34">
        <f t="shared" si="0"/>
        <v>33</v>
      </c>
      <c r="B34" s="395">
        <v>0.07533054916955793</v>
      </c>
      <c r="C34" s="19">
        <v>9.598016789317178</v>
      </c>
    </row>
    <row r="35" spans="1:3" ht="12.75">
      <c r="A35">
        <f t="shared" si="0"/>
        <v>34</v>
      </c>
      <c r="B35" s="395">
        <v>0.07642913001260543</v>
      </c>
      <c r="C35" s="19">
        <v>14.888790273185013</v>
      </c>
    </row>
    <row r="36" spans="1:3" ht="12.75">
      <c r="A36">
        <f t="shared" si="0"/>
        <v>35</v>
      </c>
      <c r="B36" s="395">
        <v>0.052590407377356096</v>
      </c>
      <c r="C36" s="19">
        <v>19.165652489921676</v>
      </c>
    </row>
    <row r="37" spans="1:3" ht="12.75">
      <c r="A37">
        <f t="shared" si="0"/>
        <v>36</v>
      </c>
      <c r="B37" s="395">
        <v>0.07807973655086776</v>
      </c>
      <c r="C37" s="19">
        <v>14.281290252921975</v>
      </c>
    </row>
    <row r="38" spans="1:3" ht="12.75">
      <c r="A38">
        <f t="shared" si="0"/>
        <v>37</v>
      </c>
      <c r="B38" s="395">
        <v>0.07843966948114989</v>
      </c>
      <c r="C38" s="19">
        <v>18.568685279097203</v>
      </c>
    </row>
    <row r="39" spans="1:3" ht="12.75">
      <c r="A39">
        <f t="shared" si="0"/>
        <v>38</v>
      </c>
      <c r="B39" s="395">
        <v>0.027929590106711852</v>
      </c>
      <c r="C39" s="19">
        <v>8.015054353246239</v>
      </c>
    </row>
    <row r="40" spans="1:3" ht="12.75">
      <c r="A40">
        <f t="shared" si="0"/>
        <v>39</v>
      </c>
      <c r="B40" s="395">
        <v>0.06819354838709678</v>
      </c>
      <c r="C40" s="19">
        <v>11.042903225806452</v>
      </c>
    </row>
    <row r="41" spans="1:3" ht="12.75">
      <c r="A41">
        <f t="shared" si="0"/>
        <v>40</v>
      </c>
      <c r="B41" s="395">
        <v>0.07216492445230827</v>
      </c>
      <c r="C41" s="19">
        <v>12.820623704979878</v>
      </c>
    </row>
    <row r="42" spans="1:3" ht="12.75">
      <c r="A42">
        <f t="shared" si="0"/>
        <v>41</v>
      </c>
      <c r="B42" s="395">
        <v>0.08433213818223205</v>
      </c>
      <c r="C42" s="19">
        <v>11.455918843549039</v>
      </c>
    </row>
    <row r="43" spans="1:3" ht="12.75">
      <c r="A43">
        <f t="shared" si="0"/>
        <v>42</v>
      </c>
      <c r="B43" s="395">
        <v>0.13043300877943131</v>
      </c>
      <c r="C43" s="19">
        <v>28.85701530712324</v>
      </c>
    </row>
    <row r="44" spans="1:3" ht="12.75">
      <c r="A44">
        <f t="shared" si="0"/>
        <v>43</v>
      </c>
      <c r="B44" s="395">
        <v>0.06666666666663972</v>
      </c>
      <c r="C44" s="19">
        <v>54.23333333333619</v>
      </c>
    </row>
    <row r="45" spans="1:3" ht="12.75">
      <c r="A45">
        <f t="shared" si="0"/>
        <v>44</v>
      </c>
      <c r="B45" s="395">
        <v>0.06628909055298038</v>
      </c>
      <c r="C45" s="19">
        <v>11.698627342168827</v>
      </c>
    </row>
    <row r="46" spans="1:3" ht="12.75">
      <c r="A46">
        <f t="shared" si="0"/>
        <v>45</v>
      </c>
      <c r="B46" s="395">
        <v>0.06725417240960668</v>
      </c>
      <c r="C46" s="19">
        <v>11.103641440579324</v>
      </c>
    </row>
    <row r="47" spans="1:3" ht="12.75">
      <c r="A47">
        <f t="shared" si="0"/>
        <v>46</v>
      </c>
      <c r="B47" s="395">
        <v>0.07134236488624256</v>
      </c>
      <c r="C47" s="19">
        <v>12.857884775793172</v>
      </c>
    </row>
    <row r="48" spans="1:3" ht="12.75">
      <c r="A48">
        <f t="shared" si="0"/>
        <v>47</v>
      </c>
      <c r="B48" s="395">
        <v>0.08351256525087716</v>
      </c>
      <c r="C48" s="19">
        <v>11.68709244943948</v>
      </c>
    </row>
    <row r="49" spans="1:3" ht="12.75">
      <c r="A49">
        <f t="shared" si="0"/>
        <v>48</v>
      </c>
      <c r="B49" s="395">
        <v>0.1468328313945874</v>
      </c>
      <c r="C49" s="19">
        <v>28.543998853385567</v>
      </c>
    </row>
    <row r="50" spans="1:3" ht="12.75">
      <c r="A50">
        <f t="shared" si="0"/>
        <v>49</v>
      </c>
      <c r="B50" s="395">
        <v>0.46139193468833917</v>
      </c>
      <c r="C50" s="19">
        <v>41.37975280482598</v>
      </c>
    </row>
    <row r="51" spans="1:3" ht="12.75">
      <c r="A51">
        <f t="shared" si="0"/>
        <v>50</v>
      </c>
      <c r="B51" s="395">
        <v>0.009326211996713222</v>
      </c>
      <c r="C51" s="19">
        <v>5.74648315529992</v>
      </c>
    </row>
    <row r="52" spans="1:3" ht="12.75">
      <c r="A52">
        <f t="shared" si="0"/>
        <v>51</v>
      </c>
      <c r="B52" s="395" t="e">
        <v>#DIV/0!</v>
      </c>
      <c r="C52" s="19" t="e">
        <v>#DIV/0!</v>
      </c>
    </row>
    <row r="53" spans="1:3" ht="12.75">
      <c r="A53">
        <f t="shared" si="0"/>
        <v>52</v>
      </c>
      <c r="B53" s="395">
        <v>-5.048968629167561E-16</v>
      </c>
      <c r="C53" s="19">
        <v>5.6000000000000965</v>
      </c>
    </row>
    <row r="54" spans="1:3" ht="12.75">
      <c r="A54">
        <f t="shared" si="0"/>
        <v>53</v>
      </c>
      <c r="B54" s="395" t="e">
        <v>#DIV/0!</v>
      </c>
      <c r="C54" s="19" t="e">
        <v>#DIV/0!</v>
      </c>
    </row>
    <row r="55" spans="1:3" ht="12.75">
      <c r="A55">
        <f t="shared" si="0"/>
        <v>54</v>
      </c>
      <c r="B55" s="395">
        <v>0.013096117501688962</v>
      </c>
      <c r="C55" s="19">
        <v>4.199816763658761</v>
      </c>
    </row>
    <row r="56" spans="1:3" ht="12.75">
      <c r="A56">
        <f t="shared" si="0"/>
        <v>55</v>
      </c>
      <c r="B56" s="395">
        <v>0.14950536477479895</v>
      </c>
      <c r="C56" s="19">
        <v>35.38501449535254</v>
      </c>
    </row>
    <row r="57" spans="1:3" ht="12.75">
      <c r="A57">
        <f t="shared" si="0"/>
        <v>56</v>
      </c>
      <c r="B57" s="395">
        <v>0.2753179539769405</v>
      </c>
      <c r="C57" s="19">
        <v>38.30036204103932</v>
      </c>
    </row>
    <row r="58" spans="1:3" ht="12.75">
      <c r="A58">
        <f t="shared" si="0"/>
        <v>57</v>
      </c>
      <c r="B58" s="395">
        <v>0.30377883920962356</v>
      </c>
      <c r="C58" s="19">
        <v>41.96208206121071</v>
      </c>
    </row>
    <row r="59" spans="1:3" ht="12.75">
      <c r="A59">
        <f t="shared" si="0"/>
        <v>58</v>
      </c>
      <c r="B59" s="395">
        <v>0.6392187020278077</v>
      </c>
      <c r="C59" s="19">
        <v>50.260912001637365</v>
      </c>
    </row>
    <row r="60" spans="1:3" ht="12.75">
      <c r="A60">
        <f t="shared" si="0"/>
        <v>59</v>
      </c>
      <c r="B60" s="395">
        <v>0.9348772750261082</v>
      </c>
      <c r="C60" s="19">
        <v>71.83579812283665</v>
      </c>
    </row>
    <row r="61" spans="1:3" ht="12.75">
      <c r="A61">
        <f t="shared" si="0"/>
        <v>60</v>
      </c>
      <c r="B61" s="395">
        <v>0.9156842687218398</v>
      </c>
      <c r="C61" s="19">
        <v>62.32574164009969</v>
      </c>
    </row>
    <row r="62" spans="1:3" ht="12.75">
      <c r="A62">
        <f t="shared" si="0"/>
        <v>61</v>
      </c>
      <c r="B62" s="395">
        <v>0.38262990973408134</v>
      </c>
      <c r="C62" s="19">
        <v>44.437692120029325</v>
      </c>
    </row>
    <row r="63" spans="1:3" ht="12.75">
      <c r="A63">
        <f t="shared" si="0"/>
        <v>62</v>
      </c>
      <c r="B63" s="395">
        <v>0.39007265349108694</v>
      </c>
      <c r="C63" s="19">
        <v>48.57554048231897</v>
      </c>
    </row>
    <row r="64" spans="1:3" ht="12.75">
      <c r="A64">
        <f t="shared" si="0"/>
        <v>63</v>
      </c>
      <c r="B64" s="395" t="e">
        <v>#DIV/0!</v>
      </c>
      <c r="C64" s="19" t="e">
        <v>#DIV/0!</v>
      </c>
    </row>
    <row r="65" spans="1:3" ht="12.75">
      <c r="A65">
        <f t="shared" si="0"/>
        <v>64</v>
      </c>
      <c r="B65" s="395" t="e">
        <v>#DIV/0!</v>
      </c>
      <c r="C65" s="19" t="e">
        <v>#DIV/0!</v>
      </c>
    </row>
    <row r="66" spans="1:3" ht="12.75">
      <c r="A66">
        <f t="shared" si="0"/>
        <v>65</v>
      </c>
      <c r="B66" s="395" t="e">
        <v>#DIV/0!</v>
      </c>
      <c r="C66" s="19" t="e">
        <v>#DIV/0!</v>
      </c>
    </row>
    <row r="67" spans="1:3" ht="12.75">
      <c r="A67">
        <f t="shared" si="0"/>
        <v>66</v>
      </c>
      <c r="B67" s="395">
        <v>0.09055476424232083</v>
      </c>
      <c r="C67" s="19">
        <v>9.414571054562003</v>
      </c>
    </row>
    <row r="68" spans="1:3" ht="12.75">
      <c r="A68">
        <f aca="true" t="shared" si="1" ref="A68:A131">A67+1</f>
        <v>67</v>
      </c>
      <c r="B68" s="395">
        <v>0.09652336310039786</v>
      </c>
      <c r="C68" s="19">
        <v>12.140405854734002</v>
      </c>
    </row>
    <row r="69" spans="1:3" ht="12.75">
      <c r="A69">
        <f t="shared" si="1"/>
        <v>68</v>
      </c>
      <c r="B69" s="395">
        <v>0.11538225893696877</v>
      </c>
      <c r="C69" s="19">
        <v>9.054903733331802</v>
      </c>
    </row>
    <row r="70" spans="1:3" ht="12.75">
      <c r="A70">
        <f t="shared" si="1"/>
        <v>69</v>
      </c>
      <c r="B70" s="395">
        <v>0.10838862595231456</v>
      </c>
      <c r="C70" s="19">
        <v>18.443234466333656</v>
      </c>
    </row>
    <row r="71" spans="1:3" ht="12.75">
      <c r="A71">
        <f t="shared" si="1"/>
        <v>70</v>
      </c>
      <c r="B71" s="395">
        <v>0.08532055879263761</v>
      </c>
      <c r="C71" s="19">
        <v>8.944979814752786</v>
      </c>
    </row>
    <row r="72" spans="1:3" ht="12.75">
      <c r="A72">
        <f t="shared" si="1"/>
        <v>71</v>
      </c>
      <c r="B72" s="395">
        <v>0.0497593213108248</v>
      </c>
      <c r="C72" s="19">
        <v>7.358750698373302</v>
      </c>
    </row>
    <row r="73" spans="1:3" ht="12.75">
      <c r="A73">
        <f t="shared" si="1"/>
        <v>72</v>
      </c>
      <c r="B73" s="395">
        <v>0.07425633335680289</v>
      </c>
      <c r="C73" s="19">
        <v>11.843028795906909</v>
      </c>
    </row>
    <row r="74" spans="1:3" ht="12.75">
      <c r="A74">
        <f t="shared" si="1"/>
        <v>73</v>
      </c>
      <c r="B74" s="395">
        <v>0.11195508229948935</v>
      </c>
      <c r="C74" s="19">
        <v>11.826537991382885</v>
      </c>
    </row>
    <row r="75" spans="1:3" ht="12.75">
      <c r="A75">
        <f t="shared" si="1"/>
        <v>74</v>
      </c>
      <c r="B75" s="395">
        <v>0.44074184348262135</v>
      </c>
      <c r="C75" s="19">
        <v>56.27186824207854</v>
      </c>
    </row>
    <row r="76" spans="1:3" ht="12.75">
      <c r="A76">
        <f t="shared" si="1"/>
        <v>75</v>
      </c>
      <c r="B76" s="395">
        <v>3.74375</v>
      </c>
      <c r="C76" s="19">
        <v>64.25625</v>
      </c>
    </row>
    <row r="77" spans="1:3" ht="12.75">
      <c r="A77">
        <f t="shared" si="1"/>
        <v>76</v>
      </c>
      <c r="B77" s="395">
        <v>4.4721183152526345E-17</v>
      </c>
      <c r="C77" s="19">
        <v>10.9</v>
      </c>
    </row>
    <row r="78" spans="1:3" ht="12.75">
      <c r="A78">
        <f t="shared" si="1"/>
        <v>77</v>
      </c>
      <c r="B78" s="395">
        <v>0.2640532576477583</v>
      </c>
      <c r="C78" s="19">
        <v>26.653660378341087</v>
      </c>
    </row>
    <row r="79" spans="1:3" ht="12.75">
      <c r="A79">
        <f t="shared" si="1"/>
        <v>78</v>
      </c>
      <c r="B79" s="395">
        <v>0.8920413129981399</v>
      </c>
      <c r="C79" s="19">
        <v>27.30940137577221</v>
      </c>
    </row>
    <row r="80" spans="1:3" ht="12.75">
      <c r="A80">
        <f t="shared" si="1"/>
        <v>79</v>
      </c>
      <c r="B80" s="395">
        <v>1.4579207920792079</v>
      </c>
      <c r="C80" s="19">
        <v>72.16336633663366</v>
      </c>
    </row>
    <row r="81" spans="1:3" ht="12.75">
      <c r="A81">
        <f t="shared" si="1"/>
        <v>80</v>
      </c>
      <c r="B81" s="395">
        <v>0.010476790180392728</v>
      </c>
      <c r="C81" s="19">
        <v>6.382617734182375</v>
      </c>
    </row>
    <row r="82" spans="1:3" ht="12.75">
      <c r="A82">
        <f t="shared" si="1"/>
        <v>81</v>
      </c>
      <c r="B82" s="395">
        <v>0</v>
      </c>
      <c r="C82" s="19">
        <v>7.5</v>
      </c>
    </row>
    <row r="83" spans="1:3" ht="12.75">
      <c r="A83">
        <f t="shared" si="1"/>
        <v>82</v>
      </c>
      <c r="B83" s="395">
        <v>0</v>
      </c>
      <c r="C83" s="19">
        <v>8.6</v>
      </c>
    </row>
    <row r="84" spans="1:3" ht="12.75">
      <c r="A84">
        <f t="shared" si="1"/>
        <v>83</v>
      </c>
      <c r="B84" s="395">
        <v>0.0885109114249037</v>
      </c>
      <c r="C84" s="19">
        <v>17.54781771501926</v>
      </c>
    </row>
    <row r="85" spans="1:3" ht="12.75">
      <c r="A85">
        <f t="shared" si="1"/>
        <v>84</v>
      </c>
      <c r="B85" s="395">
        <v>0.053079766739560545</v>
      </c>
      <c r="C85" s="19">
        <v>13.286040820576908</v>
      </c>
    </row>
    <row r="86" spans="1:3" ht="12.75">
      <c r="A86">
        <f t="shared" si="1"/>
        <v>85</v>
      </c>
      <c r="B86" s="395">
        <v>0.12189701185632419</v>
      </c>
      <c r="C86" s="19">
        <v>30.271763573522307</v>
      </c>
    </row>
    <row r="87" spans="1:3" ht="12.75">
      <c r="A87">
        <f t="shared" si="1"/>
        <v>86</v>
      </c>
      <c r="B87" s="395">
        <v>0.07757629670179285</v>
      </c>
      <c r="C87" s="19">
        <v>21.222622143150396</v>
      </c>
    </row>
    <row r="88" spans="1:3" ht="12.75">
      <c r="A88">
        <f t="shared" si="1"/>
        <v>87</v>
      </c>
      <c r="B88" s="395">
        <v>0.06657462402063656</v>
      </c>
      <c r="C88" s="19">
        <v>15.561524867547659</v>
      </c>
    </row>
    <row r="89" spans="1:3" ht="12.75">
      <c r="A89">
        <f t="shared" si="1"/>
        <v>88</v>
      </c>
      <c r="B89" s="395">
        <v>0.0726078971533517</v>
      </c>
      <c r="C89" s="19">
        <v>17.70689164370983</v>
      </c>
    </row>
    <row r="90" spans="1:3" ht="12.75">
      <c r="A90">
        <f t="shared" si="1"/>
        <v>89</v>
      </c>
      <c r="B90" s="395">
        <v>0.057032962902639754</v>
      </c>
      <c r="C90" s="19">
        <v>21.32914917874639</v>
      </c>
    </row>
    <row r="91" spans="1:3" ht="13.5" customHeight="1">
      <c r="A91">
        <f t="shared" si="1"/>
        <v>90</v>
      </c>
      <c r="B91" s="395">
        <v>0.09000768347140764</v>
      </c>
      <c r="C91" s="19">
        <v>16.171157313371513</v>
      </c>
    </row>
    <row r="92" spans="1:3" ht="12.75">
      <c r="A92">
        <f t="shared" si="1"/>
        <v>91</v>
      </c>
      <c r="B92" s="395">
        <v>0.057018144700968366</v>
      </c>
      <c r="C92" s="19">
        <v>12.841535382838408</v>
      </c>
    </row>
    <row r="93" spans="1:3" ht="12.75">
      <c r="A93">
        <f t="shared" si="1"/>
        <v>92</v>
      </c>
      <c r="B93" s="395">
        <v>0.05968646691068574</v>
      </c>
      <c r="C93" s="19">
        <v>15.682611705161493</v>
      </c>
    </row>
    <row r="94" spans="1:3" ht="12.75">
      <c r="A94">
        <f t="shared" si="1"/>
        <v>93</v>
      </c>
      <c r="B94" s="395">
        <v>0.48258079527780845</v>
      </c>
      <c r="C94" s="19">
        <v>46.52544056235226</v>
      </c>
    </row>
    <row r="95" spans="1:3" ht="12.75">
      <c r="A95">
        <f t="shared" si="1"/>
        <v>94</v>
      </c>
      <c r="B95" s="395">
        <v>0.47523421139645117</v>
      </c>
      <c r="C95" s="19">
        <v>43.99493001212383</v>
      </c>
    </row>
    <row r="96" spans="1:3" ht="12.75">
      <c r="A96">
        <f t="shared" si="1"/>
        <v>95</v>
      </c>
      <c r="B96" s="395">
        <v>0.4870880634850655</v>
      </c>
      <c r="C96" s="19">
        <v>43.8500936845586</v>
      </c>
    </row>
    <row r="97" spans="1:3" ht="12.75">
      <c r="A97">
        <f t="shared" si="1"/>
        <v>96</v>
      </c>
      <c r="B97" s="395">
        <v>0.6612619548666361</v>
      </c>
      <c r="C97" s="19">
        <v>49.04463549419145</v>
      </c>
    </row>
    <row r="98" spans="1:3" ht="12.75">
      <c r="A98">
        <f t="shared" si="1"/>
        <v>97</v>
      </c>
      <c r="B98" s="395">
        <v>0.641396773255316</v>
      </c>
      <c r="C98" s="19">
        <v>47.7988075073998</v>
      </c>
    </row>
    <row r="99" spans="1:3" ht="12.75">
      <c r="A99">
        <f t="shared" si="1"/>
        <v>98</v>
      </c>
      <c r="B99" s="395">
        <v>0.6383873120156036</v>
      </c>
      <c r="C99" s="19">
        <v>51.97357183185335</v>
      </c>
    </row>
    <row r="100" spans="1:3" ht="12.75">
      <c r="A100">
        <f t="shared" si="1"/>
        <v>99</v>
      </c>
      <c r="B100" s="395">
        <v>0.05710563283009248</v>
      </c>
      <c r="C100" s="19">
        <v>21.211885567253645</v>
      </c>
    </row>
    <row r="101" spans="1:3" ht="12.75">
      <c r="A101">
        <f t="shared" si="1"/>
        <v>100</v>
      </c>
      <c r="B101" s="395">
        <v>0.030884886936152104</v>
      </c>
      <c r="C101" s="19">
        <v>10.804516765171813</v>
      </c>
    </row>
    <row r="102" spans="1:3" ht="12.75">
      <c r="A102">
        <f t="shared" si="1"/>
        <v>101</v>
      </c>
      <c r="B102" s="395">
        <v>0.04835924291626397</v>
      </c>
      <c r="C102" s="19">
        <v>15.173358789574136</v>
      </c>
    </row>
    <row r="103" spans="1:3" ht="12.75">
      <c r="A103">
        <f t="shared" si="1"/>
        <v>102</v>
      </c>
      <c r="B103" s="395">
        <v>0.06660898486527511</v>
      </c>
      <c r="C103" s="19">
        <v>13.875520823180269</v>
      </c>
    </row>
    <row r="104" spans="1:3" ht="12.75">
      <c r="A104">
        <f t="shared" si="1"/>
        <v>103</v>
      </c>
      <c r="B104" s="395">
        <v>0.06699231726820712</v>
      </c>
      <c r="C104" s="19">
        <v>12.398692718327428</v>
      </c>
    </row>
    <row r="105" spans="1:3" ht="12.75">
      <c r="A105">
        <f t="shared" si="1"/>
        <v>104</v>
      </c>
      <c r="B105" s="395">
        <v>0.08415826935352141</v>
      </c>
      <c r="C105" s="19">
        <v>14.57713132802836</v>
      </c>
    </row>
    <row r="106" spans="1:3" ht="12.75">
      <c r="A106">
        <f t="shared" si="1"/>
        <v>105</v>
      </c>
      <c r="B106" s="395">
        <v>0.18628276267129595</v>
      </c>
      <c r="C106" s="19">
        <v>30.722432532959836</v>
      </c>
    </row>
    <row r="107" spans="1:3" ht="12.75">
      <c r="A107">
        <f t="shared" si="1"/>
        <v>106</v>
      </c>
      <c r="B107" s="395">
        <v>0.07154197773482829</v>
      </c>
      <c r="C107" s="19">
        <v>13.911234004464582</v>
      </c>
    </row>
    <row r="108" spans="1:3" ht="12.75">
      <c r="A108">
        <f t="shared" si="1"/>
        <v>107</v>
      </c>
      <c r="B108" s="395">
        <v>0.08098957049590318</v>
      </c>
      <c r="C108" s="19">
        <v>15.02986566997482</v>
      </c>
    </row>
    <row r="109" spans="1:3" ht="12.75">
      <c r="A109">
        <f t="shared" si="1"/>
        <v>108</v>
      </c>
      <c r="B109" s="395">
        <v>0.1175279271177989</v>
      </c>
      <c r="C109" s="19">
        <v>24.59714544582335</v>
      </c>
    </row>
    <row r="110" spans="1:3" ht="12.75">
      <c r="A110">
        <f t="shared" si="1"/>
        <v>109</v>
      </c>
      <c r="B110" s="395">
        <v>0.1897470039946622</v>
      </c>
      <c r="C110" s="19">
        <v>35.130625832224766</v>
      </c>
    </row>
    <row r="111" spans="1:3" ht="12.75">
      <c r="A111">
        <f t="shared" si="1"/>
        <v>110</v>
      </c>
      <c r="B111" s="395">
        <v>0.1897470039946622</v>
      </c>
      <c r="C111" s="19">
        <v>35.130625832224766</v>
      </c>
    </row>
    <row r="112" spans="1:3" ht="12.75">
      <c r="A112">
        <f>A111+1</f>
        <v>111</v>
      </c>
      <c r="B112" s="395">
        <v>0.06073684210526285</v>
      </c>
      <c r="C112" s="19">
        <v>7.794736842105335</v>
      </c>
    </row>
    <row r="113" spans="1:3" ht="12.75">
      <c r="A113">
        <f t="shared" si="1"/>
        <v>112</v>
      </c>
      <c r="B113" s="395">
        <v>0.07279999999999977</v>
      </c>
      <c r="C113" s="19">
        <v>15.160000000000057</v>
      </c>
    </row>
    <row r="114" spans="1:3" ht="12.75">
      <c r="A114">
        <f t="shared" si="1"/>
        <v>113</v>
      </c>
      <c r="B114" s="395">
        <v>0.09122839279146719</v>
      </c>
      <c r="C114" s="19">
        <v>0.20082751011405264</v>
      </c>
    </row>
    <row r="115" spans="1:3" ht="12.75">
      <c r="A115">
        <f t="shared" si="1"/>
        <v>114</v>
      </c>
      <c r="B115" s="395">
        <v>0.08960148912767578</v>
      </c>
      <c r="C115" s="19">
        <v>1.815365090109145</v>
      </c>
    </row>
    <row r="116" spans="1:3" ht="12.75">
      <c r="A116">
        <f t="shared" si="1"/>
        <v>115</v>
      </c>
      <c r="B116" s="395">
        <v>0.04624800671745844</v>
      </c>
      <c r="C116" s="19">
        <v>5.845348237052334</v>
      </c>
    </row>
    <row r="117" spans="1:3" ht="12.75">
      <c r="A117">
        <f t="shared" si="1"/>
        <v>116</v>
      </c>
      <c r="B117" s="395">
        <v>0.07145913516203314</v>
      </c>
      <c r="C117" s="19">
        <v>7.974604284126313</v>
      </c>
    </row>
    <row r="118" spans="1:3" ht="12.75">
      <c r="A118">
        <f t="shared" si="1"/>
        <v>117</v>
      </c>
      <c r="B118" s="395">
        <v>0.08146215349260305</v>
      </c>
      <c r="C118" s="19">
        <v>12.579958826064061</v>
      </c>
    </row>
    <row r="119" spans="1:3" ht="12.75">
      <c r="A119">
        <f t="shared" si="1"/>
        <v>118</v>
      </c>
      <c r="B119" s="395">
        <v>0.12345480064459123</v>
      </c>
      <c r="C119" s="19">
        <v>10.846597702344425</v>
      </c>
    </row>
    <row r="120" spans="1:3" ht="12.75">
      <c r="A120">
        <f t="shared" si="1"/>
        <v>119</v>
      </c>
      <c r="B120" s="395">
        <v>0.1381118568232662</v>
      </c>
      <c r="C120" s="19">
        <v>27.62535794183445</v>
      </c>
    </row>
    <row r="121" spans="1:3" ht="12.75">
      <c r="A121">
        <f t="shared" si="1"/>
        <v>120</v>
      </c>
      <c r="B121" s="395">
        <v>0.07188885958813793</v>
      </c>
      <c r="C121" s="19">
        <v>15.94353319109152</v>
      </c>
    </row>
    <row r="122" spans="1:3" ht="12.75">
      <c r="A122">
        <f t="shared" si="1"/>
        <v>121</v>
      </c>
      <c r="B122" s="395">
        <v>0.10075130945891499</v>
      </c>
      <c r="C122" s="19">
        <v>13.042206053136773</v>
      </c>
    </row>
    <row r="123" spans="1:3" ht="12.75">
      <c r="A123">
        <f t="shared" si="1"/>
        <v>122</v>
      </c>
      <c r="B123" s="395">
        <v>0.5645569620253096</v>
      </c>
      <c r="C123" s="19">
        <v>2.1048101265830184</v>
      </c>
    </row>
    <row r="124" spans="1:3" ht="12.75">
      <c r="A124">
        <f t="shared" si="1"/>
        <v>123</v>
      </c>
      <c r="B124" s="395">
        <v>0.5348453608247434</v>
      </c>
      <c r="C124" s="19">
        <v>5.876907216494729</v>
      </c>
    </row>
    <row r="125" spans="1:3" ht="12.75">
      <c r="A125">
        <f t="shared" si="1"/>
        <v>124</v>
      </c>
      <c r="B125" s="395">
        <v>0.4389910313901202</v>
      </c>
      <c r="C125" s="19">
        <v>7.758632286997056</v>
      </c>
    </row>
    <row r="126" spans="1:3" ht="12.75">
      <c r="A126">
        <f t="shared" si="1"/>
        <v>125</v>
      </c>
      <c r="B126" s="395">
        <v>0.5645569620253096</v>
      </c>
      <c r="C126" s="19">
        <v>2.1048101265830184</v>
      </c>
    </row>
    <row r="127" spans="1:3" ht="12.75">
      <c r="A127">
        <f t="shared" si="1"/>
        <v>126</v>
      </c>
      <c r="B127" s="395">
        <v>0.07694297437117197</v>
      </c>
      <c r="C127" s="19">
        <v>11.15609353630256</v>
      </c>
    </row>
    <row r="128" spans="1:3" ht="12.75">
      <c r="A128">
        <f t="shared" si="1"/>
        <v>127</v>
      </c>
      <c r="B128" s="395">
        <v>0.11741979962465007</v>
      </c>
      <c r="C128" s="19">
        <v>23.264044578491827</v>
      </c>
    </row>
    <row r="129" spans="1:3" ht="12.75">
      <c r="A129">
        <f t="shared" si="1"/>
        <v>128</v>
      </c>
      <c r="B129" s="395">
        <v>0.5170886075949414</v>
      </c>
      <c r="C129" s="19">
        <v>12.743037974683041</v>
      </c>
    </row>
    <row r="130" spans="1:3" ht="12.75">
      <c r="A130">
        <f t="shared" si="1"/>
        <v>129</v>
      </c>
      <c r="B130" s="395">
        <v>0.04877621283255086</v>
      </c>
      <c r="C130" s="19">
        <v>7.947073552425666</v>
      </c>
    </row>
    <row r="131" spans="1:3" ht="12.75">
      <c r="A131">
        <f t="shared" si="1"/>
        <v>130</v>
      </c>
      <c r="B131" s="395">
        <v>0.07221404928282436</v>
      </c>
      <c r="C131" s="19">
        <v>4.304036410445049</v>
      </c>
    </row>
    <row r="132" spans="1:3" ht="12.75">
      <c r="A132">
        <f aca="true" t="shared" si="2" ref="A132:A150">A131+1</f>
        <v>131</v>
      </c>
      <c r="B132" s="395">
        <v>0.05283796514366466</v>
      </c>
      <c r="C132" s="19">
        <v>4.7771431935939646</v>
      </c>
    </row>
    <row r="133" spans="1:3" ht="12.75">
      <c r="A133">
        <f t="shared" si="2"/>
        <v>132</v>
      </c>
      <c r="B133" s="395">
        <v>0.07145913516203314</v>
      </c>
      <c r="C133" s="19">
        <v>7.974604284126313</v>
      </c>
    </row>
    <row r="134" spans="1:3" ht="12.75">
      <c r="A134">
        <f t="shared" si="2"/>
        <v>133</v>
      </c>
      <c r="B134" s="395">
        <v>0.0908897692259321</v>
      </c>
      <c r="C134" s="19">
        <v>11.62824121234989</v>
      </c>
    </row>
    <row r="135" spans="1:3" ht="12.75">
      <c r="A135">
        <f t="shared" si="2"/>
        <v>134</v>
      </c>
      <c r="B135" s="395">
        <v>0.0750341915918416</v>
      </c>
      <c r="C135" s="19">
        <v>12.943948088244033</v>
      </c>
    </row>
    <row r="136" spans="1:3" ht="12.75">
      <c r="A136">
        <f t="shared" si="2"/>
        <v>135</v>
      </c>
      <c r="B136" s="395">
        <v>0.07145813854993245</v>
      </c>
      <c r="C136" s="19">
        <v>16.04810890289998</v>
      </c>
    </row>
    <row r="137" spans="1:3" ht="12.75">
      <c r="A137">
        <f t="shared" si="2"/>
        <v>136</v>
      </c>
      <c r="B137" s="395">
        <v>0.0884506908728936</v>
      </c>
      <c r="C137" s="19">
        <v>15.966340388216054</v>
      </c>
    </row>
    <row r="138" spans="1:3" ht="12.75">
      <c r="A138">
        <f t="shared" si="2"/>
        <v>137</v>
      </c>
      <c r="B138" s="395">
        <v>0.11681336694200836</v>
      </c>
      <c r="C138" s="19">
        <v>23.67317251441701</v>
      </c>
    </row>
    <row r="139" spans="1:3" ht="12.75">
      <c r="A139">
        <f t="shared" si="2"/>
        <v>138</v>
      </c>
      <c r="B139" s="395">
        <v>0.1381118568232662</v>
      </c>
      <c r="C139" s="19">
        <v>27.62535794183445</v>
      </c>
    </row>
    <row r="140" spans="1:3" ht="12.75">
      <c r="A140">
        <f t="shared" si="2"/>
        <v>139</v>
      </c>
      <c r="B140" s="395">
        <v>0.03187107512421585</v>
      </c>
      <c r="C140" s="19">
        <v>9.913465878239926</v>
      </c>
    </row>
    <row r="141" spans="1:3" ht="12.75">
      <c r="A141">
        <f t="shared" si="2"/>
        <v>140</v>
      </c>
      <c r="B141" s="395">
        <v>0.02498470039984495</v>
      </c>
      <c r="C141" s="19">
        <v>9.806361409985733</v>
      </c>
    </row>
    <row r="142" spans="1:3" ht="12.75">
      <c r="A142">
        <f t="shared" si="2"/>
        <v>141</v>
      </c>
      <c r="B142" s="395">
        <v>0.020401141368022478</v>
      </c>
      <c r="C142" s="19">
        <v>12.037431660685886</v>
      </c>
    </row>
    <row r="143" spans="1:3" ht="12.75">
      <c r="A143">
        <f t="shared" si="2"/>
        <v>142</v>
      </c>
      <c r="B143" s="395">
        <v>0.06031198082532465</v>
      </c>
      <c r="C143" s="19">
        <v>15.734506162145449</v>
      </c>
    </row>
    <row r="144" spans="1:3" ht="12.75">
      <c r="A144">
        <f t="shared" si="2"/>
        <v>143</v>
      </c>
      <c r="B144" s="395">
        <v>0.047928588842340865</v>
      </c>
      <c r="C144" s="19">
        <v>13.927372778186806</v>
      </c>
    </row>
    <row r="145" spans="1:3" ht="12.75">
      <c r="A145">
        <f t="shared" si="2"/>
        <v>144</v>
      </c>
      <c r="B145" s="395">
        <v>0.0460949708793613</v>
      </c>
      <c r="C145" s="19">
        <v>14.109230256806772</v>
      </c>
    </row>
    <row r="146" spans="1:3" ht="12.75">
      <c r="A146">
        <f t="shared" si="2"/>
        <v>145</v>
      </c>
      <c r="B146" s="395">
        <v>0.06009522074063939</v>
      </c>
      <c r="C146" s="19">
        <v>13.489527501014605</v>
      </c>
    </row>
    <row r="147" spans="1:3" ht="12.75">
      <c r="A147">
        <f t="shared" si="2"/>
        <v>146</v>
      </c>
      <c r="B147" s="395">
        <v>0.053317633353776026</v>
      </c>
      <c r="C147" s="19">
        <v>16.787333206927247</v>
      </c>
    </row>
    <row r="148" spans="1:3" ht="12.75">
      <c r="A148">
        <f t="shared" si="2"/>
        <v>147</v>
      </c>
      <c r="B148" s="395">
        <v>0.06750057584854494</v>
      </c>
      <c r="C148" s="19">
        <v>15.901595378629027</v>
      </c>
    </row>
    <row r="149" spans="1:3" ht="12.75">
      <c r="A149">
        <f t="shared" si="2"/>
        <v>148</v>
      </c>
      <c r="B149" s="395">
        <v>0.0545484447293465</v>
      </c>
      <c r="C149" s="19">
        <v>16.986281593318772</v>
      </c>
    </row>
    <row r="150" spans="1:3" ht="12.75">
      <c r="A150">
        <f t="shared" si="2"/>
        <v>149</v>
      </c>
      <c r="B150" s="395">
        <v>0.05756040218071972</v>
      </c>
      <c r="C150" s="19">
        <v>15.97916652497883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2:EW597"/>
  <sheetViews>
    <sheetView workbookViewId="0" topLeftCell="A1">
      <selection activeCell="D265" sqref="D265"/>
    </sheetView>
  </sheetViews>
  <sheetFormatPr defaultColWidth="9.140625" defaultRowHeight="12.75"/>
  <cols>
    <col min="1" max="1" width="17.7109375" style="0" customWidth="1"/>
    <col min="5" max="29" width="9.140625" style="0" hidden="1" customWidth="1"/>
    <col min="30" max="150" width="0" style="0" hidden="1" customWidth="1"/>
  </cols>
  <sheetData>
    <row r="2" spans="1:150" ht="12.75">
      <c r="A2">
        <v>56.67</v>
      </c>
      <c r="B2">
        <v>175</v>
      </c>
      <c r="BD2">
        <v>175</v>
      </c>
      <c r="BE2">
        <v>175</v>
      </c>
      <c r="BF2">
        <v>175</v>
      </c>
      <c r="BG2">
        <v>175</v>
      </c>
      <c r="BH2">
        <v>229</v>
      </c>
      <c r="BI2">
        <v>236</v>
      </c>
      <c r="BJ2">
        <v>175</v>
      </c>
      <c r="BK2">
        <v>175</v>
      </c>
      <c r="BL2">
        <v>81</v>
      </c>
      <c r="BM2">
        <v>64</v>
      </c>
      <c r="BN2">
        <v>64</v>
      </c>
      <c r="BO2">
        <v>175.2</v>
      </c>
      <c r="BP2">
        <v>175.2</v>
      </c>
      <c r="BQ2">
        <v>174.2</v>
      </c>
      <c r="BR2">
        <v>238.9</v>
      </c>
      <c r="BS2">
        <v>175.8</v>
      </c>
      <c r="BT2">
        <v>174.9</v>
      </c>
      <c r="BU2">
        <v>175.2</v>
      </c>
      <c r="BV2">
        <v>174.8</v>
      </c>
      <c r="BW2">
        <v>178</v>
      </c>
      <c r="BY2">
        <v>175</v>
      </c>
      <c r="BZ2">
        <v>175</v>
      </c>
      <c r="CA2">
        <v>179</v>
      </c>
      <c r="CC2">
        <v>198.8</v>
      </c>
      <c r="CD2">
        <v>175</v>
      </c>
      <c r="CE2">
        <v>175</v>
      </c>
      <c r="CF2">
        <v>177</v>
      </c>
      <c r="CG2">
        <v>178</v>
      </c>
      <c r="CH2">
        <v>177</v>
      </c>
      <c r="CI2">
        <v>178</v>
      </c>
      <c r="CJ2">
        <v>178</v>
      </c>
      <c r="CK2">
        <v>176</v>
      </c>
      <c r="CL2">
        <v>178</v>
      </c>
      <c r="CM2">
        <v>177</v>
      </c>
      <c r="CN2">
        <v>177</v>
      </c>
      <c r="CO2">
        <v>176</v>
      </c>
      <c r="CP2">
        <v>175</v>
      </c>
      <c r="CQ2">
        <v>175</v>
      </c>
      <c r="CR2">
        <v>175</v>
      </c>
      <c r="CS2">
        <v>175</v>
      </c>
      <c r="CT2">
        <v>175</v>
      </c>
      <c r="CU2">
        <v>175</v>
      </c>
      <c r="CV2">
        <v>175</v>
      </c>
      <c r="CW2">
        <v>175</v>
      </c>
      <c r="CX2">
        <v>175</v>
      </c>
      <c r="CY2">
        <v>175</v>
      </c>
      <c r="CZ2">
        <v>175</v>
      </c>
      <c r="DA2">
        <v>175</v>
      </c>
      <c r="DB2">
        <v>175</v>
      </c>
      <c r="DC2">
        <v>175</v>
      </c>
      <c r="DD2">
        <v>175</v>
      </c>
      <c r="DE2">
        <v>175</v>
      </c>
      <c r="DF2">
        <v>99</v>
      </c>
      <c r="DG2">
        <v>99</v>
      </c>
      <c r="DH2">
        <v>175</v>
      </c>
      <c r="DI2">
        <v>175</v>
      </c>
      <c r="DJ2">
        <v>175</v>
      </c>
      <c r="DK2">
        <v>175</v>
      </c>
      <c r="DL2">
        <v>175</v>
      </c>
      <c r="DM2">
        <v>175</v>
      </c>
      <c r="DN2">
        <v>175</v>
      </c>
      <c r="DO2">
        <v>175</v>
      </c>
      <c r="DP2">
        <v>175</v>
      </c>
      <c r="DQ2">
        <v>175</v>
      </c>
      <c r="DR2">
        <v>175</v>
      </c>
      <c r="DS2">
        <v>100</v>
      </c>
      <c r="DT2">
        <v>100</v>
      </c>
      <c r="DU2">
        <v>100</v>
      </c>
      <c r="DV2">
        <v>100</v>
      </c>
      <c r="DW2">
        <v>175</v>
      </c>
      <c r="DX2">
        <v>175</v>
      </c>
      <c r="DY2">
        <v>100</v>
      </c>
      <c r="DZ2">
        <v>175</v>
      </c>
      <c r="EA2">
        <v>175</v>
      </c>
      <c r="EB2">
        <v>175</v>
      </c>
      <c r="EC2">
        <v>175</v>
      </c>
      <c r="ED2">
        <v>175</v>
      </c>
      <c r="EE2">
        <v>175</v>
      </c>
      <c r="EF2">
        <v>175</v>
      </c>
      <c r="EG2">
        <v>175</v>
      </c>
      <c r="EH2">
        <v>175</v>
      </c>
      <c r="EI2">
        <v>175</v>
      </c>
      <c r="EJ2">
        <v>175.6</v>
      </c>
      <c r="EK2">
        <v>174.7</v>
      </c>
      <c r="EL2">
        <v>175.7</v>
      </c>
      <c r="EM2">
        <v>174.4</v>
      </c>
      <c r="EN2">
        <v>174.4</v>
      </c>
      <c r="EO2">
        <v>175.6</v>
      </c>
      <c r="EP2">
        <v>175.4</v>
      </c>
      <c r="EQ2">
        <v>174.3</v>
      </c>
      <c r="ER2">
        <v>174.9</v>
      </c>
      <c r="ES2">
        <v>175.2</v>
      </c>
      <c r="ET2">
        <v>175.5</v>
      </c>
    </row>
    <row r="3" spans="1:150" ht="12.75">
      <c r="A3">
        <v>43.88</v>
      </c>
      <c r="B3">
        <v>71.4</v>
      </c>
      <c r="BD3">
        <v>175</v>
      </c>
      <c r="BE3">
        <v>159</v>
      </c>
      <c r="BF3">
        <v>163</v>
      </c>
      <c r="BG3">
        <v>106</v>
      </c>
      <c r="BH3">
        <v>229</v>
      </c>
      <c r="BI3">
        <v>236</v>
      </c>
      <c r="BJ3">
        <v>153</v>
      </c>
      <c r="BK3">
        <v>175</v>
      </c>
      <c r="BO3">
        <v>78.1</v>
      </c>
      <c r="BP3">
        <v>55.8</v>
      </c>
      <c r="BQ3">
        <v>78.7</v>
      </c>
      <c r="BR3">
        <v>238.9</v>
      </c>
      <c r="BS3">
        <v>78.1</v>
      </c>
      <c r="BT3">
        <v>48.9</v>
      </c>
      <c r="BU3">
        <v>92.3</v>
      </c>
      <c r="BV3">
        <v>68.98</v>
      </c>
      <c r="BW3">
        <v>110</v>
      </c>
      <c r="BX3">
        <v>1</v>
      </c>
      <c r="BY3">
        <v>11</v>
      </c>
      <c r="BZ3">
        <v>126</v>
      </c>
      <c r="CA3">
        <v>134</v>
      </c>
      <c r="CB3">
        <v>194</v>
      </c>
      <c r="CC3">
        <v>207.4</v>
      </c>
      <c r="CD3">
        <v>12</v>
      </c>
      <c r="CE3">
        <v>12</v>
      </c>
      <c r="CF3">
        <v>21</v>
      </c>
      <c r="CG3">
        <v>14</v>
      </c>
      <c r="CH3">
        <v>43</v>
      </c>
      <c r="CI3">
        <v>62</v>
      </c>
      <c r="CJ3">
        <v>15</v>
      </c>
      <c r="CK3">
        <v>6</v>
      </c>
      <c r="CL3">
        <v>9</v>
      </c>
      <c r="CM3">
        <v>26</v>
      </c>
      <c r="CN3">
        <v>13</v>
      </c>
      <c r="CO3">
        <v>13</v>
      </c>
      <c r="CP3">
        <v>119</v>
      </c>
      <c r="CQ3">
        <v>119</v>
      </c>
      <c r="CR3">
        <v>119</v>
      </c>
      <c r="CS3">
        <v>148</v>
      </c>
      <c r="CT3">
        <v>148</v>
      </c>
      <c r="CU3">
        <v>148</v>
      </c>
      <c r="CV3">
        <v>44.3</v>
      </c>
      <c r="CW3">
        <v>5.8</v>
      </c>
      <c r="CX3">
        <v>7.9</v>
      </c>
      <c r="CY3">
        <v>16.8</v>
      </c>
      <c r="CZ3">
        <v>19.1</v>
      </c>
      <c r="DA3">
        <v>17</v>
      </c>
      <c r="DB3">
        <v>89.4</v>
      </c>
      <c r="DC3">
        <v>21.5</v>
      </c>
      <c r="DD3">
        <v>18</v>
      </c>
      <c r="DE3">
        <v>60.4</v>
      </c>
      <c r="DF3">
        <v>86.6</v>
      </c>
      <c r="DG3">
        <v>86.6</v>
      </c>
      <c r="DJ3">
        <v>107</v>
      </c>
      <c r="DK3">
        <v>119</v>
      </c>
      <c r="DL3">
        <v>22.4</v>
      </c>
      <c r="DM3">
        <v>71.9</v>
      </c>
      <c r="DN3">
        <v>39</v>
      </c>
      <c r="DO3">
        <v>40</v>
      </c>
      <c r="DP3">
        <v>45</v>
      </c>
      <c r="DQ3">
        <v>50</v>
      </c>
      <c r="DR3">
        <v>47</v>
      </c>
      <c r="DW3">
        <v>52</v>
      </c>
      <c r="DX3">
        <v>36.6</v>
      </c>
      <c r="DZ3">
        <v>60</v>
      </c>
      <c r="EA3">
        <v>107</v>
      </c>
      <c r="EB3">
        <v>45</v>
      </c>
      <c r="EC3">
        <v>71.9</v>
      </c>
      <c r="ED3">
        <v>67</v>
      </c>
      <c r="EE3">
        <v>52</v>
      </c>
      <c r="EF3">
        <v>50</v>
      </c>
      <c r="EG3">
        <v>47</v>
      </c>
      <c r="EH3">
        <v>36.6</v>
      </c>
      <c r="EI3">
        <v>45</v>
      </c>
      <c r="EJ3">
        <v>3.35</v>
      </c>
      <c r="EK3">
        <v>6.72</v>
      </c>
      <c r="EL3">
        <v>4.27</v>
      </c>
      <c r="EM3">
        <v>10.74</v>
      </c>
      <c r="EN3">
        <v>12.15</v>
      </c>
      <c r="EO3">
        <v>9.79</v>
      </c>
      <c r="EP3">
        <v>8.15</v>
      </c>
      <c r="EQ3">
        <v>16</v>
      </c>
      <c r="ER3">
        <v>11.5</v>
      </c>
      <c r="ES3">
        <v>12.9</v>
      </c>
      <c r="ET3">
        <v>8.7</v>
      </c>
    </row>
    <row r="4" spans="1:150" ht="12.75">
      <c r="A4">
        <v>97.47</v>
      </c>
      <c r="B4">
        <v>458.9</v>
      </c>
      <c r="BD4">
        <v>394</v>
      </c>
      <c r="BE4">
        <v>562</v>
      </c>
      <c r="BF4">
        <v>550</v>
      </c>
      <c r="BG4">
        <v>392</v>
      </c>
      <c r="BH4">
        <v>375</v>
      </c>
      <c r="BI4">
        <v>459</v>
      </c>
      <c r="BJ4">
        <v>345</v>
      </c>
      <c r="BK4">
        <v>390</v>
      </c>
      <c r="BL4">
        <v>81</v>
      </c>
      <c r="BM4">
        <v>64</v>
      </c>
      <c r="BN4">
        <v>64</v>
      </c>
      <c r="BO4">
        <v>226.7</v>
      </c>
      <c r="BP4">
        <v>208.9</v>
      </c>
      <c r="BQ4">
        <v>280.2</v>
      </c>
      <c r="BR4">
        <v>411.8</v>
      </c>
      <c r="BS4">
        <v>226.7</v>
      </c>
      <c r="BT4">
        <v>178.1</v>
      </c>
      <c r="BU4">
        <v>255.7</v>
      </c>
      <c r="BV4">
        <v>226.4</v>
      </c>
      <c r="BW4">
        <v>498</v>
      </c>
      <c r="BX4">
        <v>161</v>
      </c>
      <c r="BY4">
        <v>176</v>
      </c>
      <c r="BZ4">
        <v>388</v>
      </c>
      <c r="CA4">
        <v>405</v>
      </c>
      <c r="CB4">
        <v>598</v>
      </c>
      <c r="CC4">
        <v>156.2</v>
      </c>
      <c r="CD4">
        <v>180</v>
      </c>
      <c r="CE4">
        <v>180</v>
      </c>
      <c r="CF4">
        <v>301</v>
      </c>
      <c r="CG4">
        <v>254</v>
      </c>
      <c r="CH4">
        <v>468</v>
      </c>
      <c r="CI4">
        <v>270</v>
      </c>
      <c r="CJ4">
        <v>335</v>
      </c>
      <c r="CK4">
        <v>291</v>
      </c>
      <c r="CL4">
        <v>307</v>
      </c>
      <c r="CM4">
        <v>248</v>
      </c>
      <c r="CN4">
        <v>342</v>
      </c>
      <c r="CO4">
        <v>273</v>
      </c>
      <c r="CP4">
        <v>430</v>
      </c>
      <c r="CQ4">
        <v>430</v>
      </c>
      <c r="CR4">
        <v>430</v>
      </c>
      <c r="CS4">
        <v>370</v>
      </c>
      <c r="CT4">
        <v>370</v>
      </c>
      <c r="CU4">
        <v>370</v>
      </c>
      <c r="CV4">
        <v>251.2</v>
      </c>
      <c r="CW4">
        <v>203.8</v>
      </c>
      <c r="CX4">
        <v>220</v>
      </c>
      <c r="CY4">
        <v>190</v>
      </c>
      <c r="CZ4">
        <v>210.8</v>
      </c>
      <c r="DA4">
        <v>272.2</v>
      </c>
      <c r="DB4">
        <v>440</v>
      </c>
      <c r="DC4">
        <v>200</v>
      </c>
      <c r="DD4">
        <v>270.3</v>
      </c>
      <c r="DE4">
        <v>406.3</v>
      </c>
      <c r="DF4">
        <v>90.6</v>
      </c>
      <c r="DG4">
        <v>90.6</v>
      </c>
      <c r="DH4">
        <v>225</v>
      </c>
      <c r="DJ4">
        <v>132</v>
      </c>
      <c r="DK4">
        <v>147</v>
      </c>
      <c r="DL4">
        <v>153</v>
      </c>
      <c r="DM4">
        <v>246</v>
      </c>
      <c r="DN4">
        <v>163</v>
      </c>
      <c r="DO4">
        <v>161</v>
      </c>
      <c r="DP4">
        <v>360</v>
      </c>
      <c r="DQ4">
        <v>221</v>
      </c>
      <c r="DR4">
        <v>187</v>
      </c>
      <c r="DS4">
        <v>106</v>
      </c>
      <c r="DT4">
        <v>106</v>
      </c>
      <c r="DU4">
        <v>106</v>
      </c>
      <c r="DV4">
        <v>106</v>
      </c>
      <c r="DW4">
        <v>170</v>
      </c>
      <c r="DX4">
        <v>284</v>
      </c>
      <c r="DY4">
        <v>106</v>
      </c>
      <c r="DZ4">
        <v>195</v>
      </c>
      <c r="EA4">
        <v>132</v>
      </c>
      <c r="EB4">
        <v>153</v>
      </c>
      <c r="EC4">
        <v>246</v>
      </c>
      <c r="ED4">
        <v>163</v>
      </c>
      <c r="EE4">
        <v>170</v>
      </c>
      <c r="EF4">
        <v>221</v>
      </c>
      <c r="EG4">
        <v>187</v>
      </c>
      <c r="EH4">
        <v>284</v>
      </c>
      <c r="EI4">
        <v>360</v>
      </c>
      <c r="EJ4">
        <v>189.2</v>
      </c>
      <c r="EK4">
        <v>244.3</v>
      </c>
      <c r="EL4">
        <v>174</v>
      </c>
      <c r="EM4">
        <v>172.4</v>
      </c>
      <c r="EN4">
        <v>225.9</v>
      </c>
      <c r="EO4">
        <v>251.3</v>
      </c>
      <c r="EP4">
        <v>182.8</v>
      </c>
      <c r="EQ4">
        <v>254</v>
      </c>
      <c r="ER4">
        <v>211</v>
      </c>
      <c r="ES4">
        <v>227</v>
      </c>
      <c r="ET4">
        <v>187</v>
      </c>
    </row>
    <row r="5" spans="1:151" ht="12.75">
      <c r="A5">
        <v>97.47</v>
      </c>
      <c r="B5">
        <v>458.9</v>
      </c>
      <c r="C5">
        <f>SLOPE(A2:A5,B2:B5)</f>
        <v>0.13980813049393037</v>
      </c>
      <c r="D5">
        <f>INTERCEPT(data1!A2:A5,B2:B5)</f>
        <v>33.181343619741575</v>
      </c>
      <c r="BD5">
        <v>550</v>
      </c>
      <c r="BE5">
        <v>672</v>
      </c>
      <c r="BF5">
        <v>687</v>
      </c>
      <c r="BG5">
        <v>458</v>
      </c>
      <c r="BH5">
        <v>456</v>
      </c>
      <c r="BI5">
        <v>548</v>
      </c>
      <c r="BJ5">
        <v>418</v>
      </c>
      <c r="BK5">
        <v>469</v>
      </c>
      <c r="BL5">
        <v>81</v>
      </c>
      <c r="BM5">
        <v>64</v>
      </c>
      <c r="BN5">
        <v>64</v>
      </c>
      <c r="BO5" t="s">
        <v>138</v>
      </c>
      <c r="BP5">
        <v>273.9</v>
      </c>
      <c r="BQ5">
        <v>282.8</v>
      </c>
      <c r="BR5">
        <v>564.4</v>
      </c>
      <c r="BS5" t="s">
        <v>138</v>
      </c>
      <c r="BT5">
        <v>179.8</v>
      </c>
      <c r="BU5" t="s">
        <v>138</v>
      </c>
      <c r="BV5">
        <v>284.8</v>
      </c>
      <c r="BW5">
        <v>498</v>
      </c>
      <c r="BX5">
        <v>161</v>
      </c>
      <c r="BY5">
        <v>176</v>
      </c>
      <c r="BZ5">
        <v>388</v>
      </c>
      <c r="CA5">
        <v>405</v>
      </c>
      <c r="CB5">
        <v>598</v>
      </c>
      <c r="CC5">
        <v>207.4</v>
      </c>
      <c r="CD5">
        <v>180</v>
      </c>
      <c r="CE5">
        <v>180</v>
      </c>
      <c r="CF5">
        <v>301</v>
      </c>
      <c r="CG5">
        <v>254</v>
      </c>
      <c r="CH5">
        <v>468</v>
      </c>
      <c r="CI5">
        <v>270</v>
      </c>
      <c r="CJ5">
        <v>335</v>
      </c>
      <c r="CK5">
        <v>291</v>
      </c>
      <c r="CL5">
        <v>307</v>
      </c>
      <c r="CM5">
        <v>248</v>
      </c>
      <c r="CN5">
        <v>342</v>
      </c>
      <c r="CO5">
        <v>273</v>
      </c>
      <c r="CP5">
        <v>430</v>
      </c>
      <c r="CQ5">
        <v>430</v>
      </c>
      <c r="CR5">
        <v>430</v>
      </c>
      <c r="CS5">
        <v>370</v>
      </c>
      <c r="CT5">
        <v>370</v>
      </c>
      <c r="CU5">
        <v>370</v>
      </c>
      <c r="CV5">
        <v>269.4</v>
      </c>
      <c r="CW5">
        <v>204.1</v>
      </c>
      <c r="CX5">
        <v>230</v>
      </c>
      <c r="CY5">
        <v>232.2</v>
      </c>
      <c r="CZ5">
        <v>307.2</v>
      </c>
      <c r="DA5">
        <v>283.1</v>
      </c>
      <c r="DB5">
        <v>540</v>
      </c>
      <c r="DC5">
        <v>278</v>
      </c>
      <c r="DD5">
        <v>281</v>
      </c>
      <c r="DE5">
        <v>447.5</v>
      </c>
      <c r="DF5">
        <v>99</v>
      </c>
      <c r="DG5">
        <v>99</v>
      </c>
      <c r="DH5">
        <v>300</v>
      </c>
      <c r="DI5">
        <v>300</v>
      </c>
      <c r="DJ5">
        <v>202</v>
      </c>
      <c r="DK5">
        <v>190</v>
      </c>
      <c r="DL5">
        <v>223</v>
      </c>
      <c r="DM5">
        <v>260</v>
      </c>
      <c r="DN5">
        <v>266</v>
      </c>
      <c r="DO5">
        <v>230</v>
      </c>
      <c r="DP5">
        <v>480</v>
      </c>
      <c r="DQ5">
        <v>293</v>
      </c>
      <c r="DR5">
        <v>298</v>
      </c>
      <c r="DS5">
        <v>120</v>
      </c>
      <c r="DT5">
        <v>122</v>
      </c>
      <c r="DU5">
        <v>117</v>
      </c>
      <c r="DV5">
        <v>120</v>
      </c>
      <c r="DW5">
        <v>311</v>
      </c>
      <c r="DX5">
        <v>554</v>
      </c>
      <c r="DY5">
        <v>120</v>
      </c>
      <c r="DZ5">
        <v>255</v>
      </c>
      <c r="EA5">
        <v>202</v>
      </c>
      <c r="EB5">
        <v>223</v>
      </c>
      <c r="EC5">
        <v>260</v>
      </c>
      <c r="ED5">
        <v>266</v>
      </c>
      <c r="EE5">
        <v>311</v>
      </c>
      <c r="EF5">
        <v>293</v>
      </c>
      <c r="EG5">
        <v>298</v>
      </c>
      <c r="EH5">
        <v>554</v>
      </c>
      <c r="EI5">
        <v>480</v>
      </c>
      <c r="EJ5">
        <v>242</v>
      </c>
      <c r="EK5">
        <v>289.7</v>
      </c>
      <c r="EL5">
        <v>246.5</v>
      </c>
      <c r="EM5">
        <v>243.7</v>
      </c>
      <c r="EN5">
        <v>303</v>
      </c>
      <c r="EO5">
        <v>287.1</v>
      </c>
      <c r="EP5">
        <v>210.1</v>
      </c>
      <c r="EQ5">
        <v>320</v>
      </c>
      <c r="ER5">
        <v>242.5</v>
      </c>
      <c r="ES5">
        <v>302.7</v>
      </c>
      <c r="ET5">
        <v>280</v>
      </c>
      <c r="EU5" t="b">
        <f>A5='Master Data'!AA3</f>
        <v>1</v>
      </c>
    </row>
    <row r="6" spans="1:150" ht="12.75">
      <c r="A6">
        <v>32.99</v>
      </c>
      <c r="B6">
        <v>175</v>
      </c>
      <c r="BD6">
        <v>61.9</v>
      </c>
      <c r="BE6">
        <v>88.1</v>
      </c>
      <c r="BF6">
        <v>94.4</v>
      </c>
      <c r="BG6">
        <v>160.6</v>
      </c>
      <c r="BH6">
        <v>286.3</v>
      </c>
      <c r="BI6">
        <v>279.8</v>
      </c>
      <c r="BJ6">
        <v>110.9</v>
      </c>
      <c r="BK6">
        <v>117</v>
      </c>
      <c r="BL6">
        <v>292</v>
      </c>
      <c r="BM6">
        <v>322</v>
      </c>
      <c r="BN6">
        <v>465</v>
      </c>
      <c r="BO6">
        <v>27.81</v>
      </c>
      <c r="BP6">
        <v>28.97</v>
      </c>
      <c r="BQ6">
        <v>29.07</v>
      </c>
      <c r="BR6">
        <v>44.25</v>
      </c>
      <c r="BS6">
        <v>23.94</v>
      </c>
      <c r="BT6">
        <v>15.48</v>
      </c>
      <c r="BU6">
        <v>25.09</v>
      </c>
      <c r="BV6">
        <v>31.66</v>
      </c>
      <c r="BW6">
        <v>132</v>
      </c>
      <c r="BY6">
        <v>10.9</v>
      </c>
      <c r="BZ6">
        <v>74</v>
      </c>
      <c r="CA6">
        <v>182</v>
      </c>
      <c r="CC6">
        <v>8.46</v>
      </c>
      <c r="CD6">
        <v>7.5</v>
      </c>
      <c r="CE6">
        <v>8.6</v>
      </c>
      <c r="CF6">
        <v>32.1</v>
      </c>
      <c r="CG6">
        <v>20.3</v>
      </c>
      <c r="CH6">
        <v>48.8</v>
      </c>
      <c r="CI6">
        <v>34.2</v>
      </c>
      <c r="CJ6">
        <v>25.7</v>
      </c>
      <c r="CK6">
        <v>29.6</v>
      </c>
      <c r="CL6">
        <v>29.5</v>
      </c>
      <c r="CM6">
        <v>31.2</v>
      </c>
      <c r="CN6">
        <v>22.7</v>
      </c>
      <c r="CO6">
        <v>24.2</v>
      </c>
      <c r="CP6">
        <v>134.7</v>
      </c>
      <c r="CQ6">
        <v>131</v>
      </c>
      <c r="CR6">
        <v>132.4</v>
      </c>
      <c r="CS6">
        <v>166.6</v>
      </c>
      <c r="CT6">
        <v>160.3</v>
      </c>
      <c r="CU6">
        <v>166.6</v>
      </c>
      <c r="CV6">
        <v>28.3</v>
      </c>
      <c r="CW6">
        <v>16.1</v>
      </c>
      <c r="CX6">
        <v>23</v>
      </c>
      <c r="CY6">
        <v>24.7</v>
      </c>
      <c r="CZ6">
        <v>23.8</v>
      </c>
      <c r="DA6">
        <v>28.8</v>
      </c>
      <c r="DB6">
        <v>54.8</v>
      </c>
      <c r="DC6">
        <v>25.8</v>
      </c>
      <c r="DD6">
        <v>28.4</v>
      </c>
      <c r="DE6">
        <v>42.5</v>
      </c>
      <c r="DF6">
        <v>53.6</v>
      </c>
      <c r="DG6">
        <v>53.6</v>
      </c>
      <c r="DH6">
        <v>18.4</v>
      </c>
      <c r="DI6">
        <v>27.9</v>
      </c>
      <c r="DJ6">
        <v>15.7</v>
      </c>
      <c r="DK6">
        <v>17.9</v>
      </c>
      <c r="DL6">
        <v>13.6</v>
      </c>
      <c r="DM6">
        <v>20.5</v>
      </c>
      <c r="DN6">
        <v>27</v>
      </c>
      <c r="DO6">
        <v>31.8</v>
      </c>
      <c r="DP6">
        <v>45.9</v>
      </c>
      <c r="DQ6">
        <v>26.6</v>
      </c>
      <c r="DR6">
        <v>29.4</v>
      </c>
      <c r="DS6">
        <v>54.8</v>
      </c>
      <c r="DT6">
        <v>55.1</v>
      </c>
      <c r="DU6">
        <v>50.3</v>
      </c>
      <c r="DV6">
        <v>54.8</v>
      </c>
      <c r="DW6">
        <v>24.3</v>
      </c>
      <c r="DX6">
        <v>37</v>
      </c>
      <c r="DY6">
        <v>61.2</v>
      </c>
      <c r="DZ6">
        <v>16.8</v>
      </c>
      <c r="EA6">
        <v>15.7</v>
      </c>
      <c r="EB6">
        <v>13.6</v>
      </c>
      <c r="EC6">
        <v>20.5</v>
      </c>
      <c r="ED6">
        <v>27</v>
      </c>
      <c r="EE6">
        <v>24.3</v>
      </c>
      <c r="EF6">
        <v>26.6</v>
      </c>
      <c r="EG6">
        <v>29.4</v>
      </c>
      <c r="EH6">
        <v>38</v>
      </c>
      <c r="EI6">
        <v>45.9</v>
      </c>
      <c r="EJ6">
        <v>15.7</v>
      </c>
      <c r="EK6">
        <v>14.2</v>
      </c>
      <c r="EL6">
        <v>15.9</v>
      </c>
      <c r="EM6">
        <v>27.4</v>
      </c>
      <c r="EN6">
        <v>22</v>
      </c>
      <c r="EO6">
        <v>21.1</v>
      </c>
      <c r="EP6">
        <v>24</v>
      </c>
      <c r="EQ6">
        <v>25.3</v>
      </c>
      <c r="ER6">
        <v>27</v>
      </c>
      <c r="ES6">
        <v>26.5</v>
      </c>
      <c r="ET6">
        <v>22.5</v>
      </c>
    </row>
    <row r="7" spans="1:150" ht="12.75">
      <c r="A7">
        <v>21.87</v>
      </c>
      <c r="B7">
        <v>60.46</v>
      </c>
      <c r="BD7">
        <v>61.9</v>
      </c>
      <c r="BE7">
        <v>81.5</v>
      </c>
      <c r="BF7">
        <v>92.3</v>
      </c>
      <c r="BG7">
        <v>119.4</v>
      </c>
      <c r="BH7">
        <v>286.3</v>
      </c>
      <c r="BI7">
        <v>279.8</v>
      </c>
      <c r="BJ7">
        <v>104</v>
      </c>
      <c r="BK7">
        <v>117</v>
      </c>
      <c r="BO7">
        <v>15.61</v>
      </c>
      <c r="BP7">
        <v>17.63</v>
      </c>
      <c r="BQ7">
        <v>18.18</v>
      </c>
      <c r="BR7">
        <v>44.25</v>
      </c>
      <c r="BS7">
        <v>15.61</v>
      </c>
      <c r="BT7">
        <v>9.81</v>
      </c>
      <c r="BU7">
        <v>18.58</v>
      </c>
      <c r="BV7">
        <v>19.44</v>
      </c>
      <c r="BW7">
        <v>107</v>
      </c>
      <c r="BX7">
        <v>68</v>
      </c>
      <c r="BY7">
        <v>10.9</v>
      </c>
      <c r="BZ7">
        <v>59</v>
      </c>
      <c r="CA7">
        <v>151</v>
      </c>
      <c r="CB7">
        <v>355</v>
      </c>
      <c r="CC7">
        <v>6.49</v>
      </c>
      <c r="CD7">
        <v>7.5</v>
      </c>
      <c r="CE7">
        <v>8.6</v>
      </c>
      <c r="CF7">
        <v>19.9</v>
      </c>
      <c r="CG7">
        <v>14.8</v>
      </c>
      <c r="CH7">
        <v>37.6</v>
      </c>
      <c r="CI7">
        <v>26.4</v>
      </c>
      <c r="CJ7">
        <v>17.4</v>
      </c>
      <c r="CK7">
        <v>18.5</v>
      </c>
      <c r="CL7">
        <v>22.7</v>
      </c>
      <c r="CM7">
        <v>18.8</v>
      </c>
      <c r="CN7">
        <v>13.7</v>
      </c>
      <c r="CO7">
        <v>17.2</v>
      </c>
      <c r="CP7">
        <v>100.9</v>
      </c>
      <c r="CQ7">
        <v>97.4</v>
      </c>
      <c r="CR7">
        <v>99.1</v>
      </c>
      <c r="CS7">
        <v>145.3</v>
      </c>
      <c r="CT7">
        <v>142.5</v>
      </c>
      <c r="CU7">
        <v>143.9</v>
      </c>
      <c r="CV7">
        <v>24.9</v>
      </c>
      <c r="CW7">
        <v>11</v>
      </c>
      <c r="CX7">
        <v>15.7</v>
      </c>
      <c r="CY7">
        <v>15.3</v>
      </c>
      <c r="CZ7">
        <v>13.9</v>
      </c>
      <c r="DA7">
        <v>16.2</v>
      </c>
      <c r="DB7">
        <v>53.1</v>
      </c>
      <c r="DC7">
        <v>15.8</v>
      </c>
      <c r="DD7">
        <v>16.8</v>
      </c>
      <c r="DE7">
        <v>33.3</v>
      </c>
      <c r="DF7">
        <v>50.9</v>
      </c>
      <c r="DG7">
        <v>50.9</v>
      </c>
      <c r="DJ7">
        <v>10.2</v>
      </c>
      <c r="DK7">
        <v>11.9</v>
      </c>
      <c r="DL7">
        <v>6.9</v>
      </c>
      <c r="DM7">
        <v>13.1</v>
      </c>
      <c r="DN7">
        <v>15.4</v>
      </c>
      <c r="DO7">
        <v>15.8</v>
      </c>
      <c r="DP7">
        <v>36</v>
      </c>
      <c r="DQ7">
        <v>19.8</v>
      </c>
      <c r="DR7">
        <v>17.2</v>
      </c>
      <c r="DS7">
        <v>52.88</v>
      </c>
      <c r="DT7">
        <v>53.17</v>
      </c>
      <c r="DU7">
        <v>43.53</v>
      </c>
      <c r="DV7">
        <v>52.88</v>
      </c>
      <c r="DW7">
        <v>15.4</v>
      </c>
      <c r="DX7">
        <v>26.4</v>
      </c>
      <c r="DY7">
        <v>58.6</v>
      </c>
      <c r="DZ7">
        <v>10.7</v>
      </c>
      <c r="EA7">
        <v>10.2</v>
      </c>
      <c r="EB7">
        <v>6.9</v>
      </c>
      <c r="EC7">
        <v>13.1</v>
      </c>
      <c r="ED7">
        <v>15.5</v>
      </c>
      <c r="EE7">
        <v>15.6</v>
      </c>
      <c r="EF7">
        <v>19.9</v>
      </c>
      <c r="EG7">
        <v>20.2</v>
      </c>
      <c r="EH7">
        <v>26.4</v>
      </c>
      <c r="EI7">
        <v>36</v>
      </c>
      <c r="EJ7">
        <v>9.8</v>
      </c>
      <c r="EK7">
        <v>9.9</v>
      </c>
      <c r="EL7">
        <v>11.8</v>
      </c>
      <c r="EM7">
        <v>15.5</v>
      </c>
      <c r="EN7">
        <v>14.2</v>
      </c>
      <c r="EO7">
        <v>14.9</v>
      </c>
      <c r="EP7">
        <v>13.9</v>
      </c>
      <c r="EQ7">
        <v>17.5</v>
      </c>
      <c r="ER7">
        <v>16.7</v>
      </c>
      <c r="ES7">
        <v>17.1</v>
      </c>
      <c r="ET7">
        <v>16.4</v>
      </c>
    </row>
    <row r="8" spans="1:150" ht="12.75">
      <c r="A8">
        <v>43.14</v>
      </c>
      <c r="B8">
        <v>280</v>
      </c>
      <c r="BD8">
        <v>92.6</v>
      </c>
      <c r="BE8">
        <v>188.4</v>
      </c>
      <c r="BF8">
        <v>208.6</v>
      </c>
      <c r="BG8">
        <v>300</v>
      </c>
      <c r="BH8">
        <v>420.3</v>
      </c>
      <c r="BI8">
        <v>473</v>
      </c>
      <c r="BJ8">
        <v>174.4</v>
      </c>
      <c r="BK8">
        <v>199.5</v>
      </c>
      <c r="BL8">
        <v>292</v>
      </c>
      <c r="BM8">
        <v>322</v>
      </c>
      <c r="BN8">
        <v>465</v>
      </c>
      <c r="BO8">
        <v>28.29</v>
      </c>
      <c r="BP8">
        <v>32.08</v>
      </c>
      <c r="BQ8">
        <v>41.42</v>
      </c>
      <c r="BR8">
        <v>63.45</v>
      </c>
      <c r="BS8">
        <v>28.29</v>
      </c>
      <c r="BT8">
        <v>16.51</v>
      </c>
      <c r="BU8">
        <v>30.71</v>
      </c>
      <c r="BV8">
        <v>37.08</v>
      </c>
      <c r="BW8">
        <v>276</v>
      </c>
      <c r="BX8">
        <v>667</v>
      </c>
      <c r="BY8">
        <v>10.9</v>
      </c>
      <c r="BZ8">
        <v>129</v>
      </c>
      <c r="CA8">
        <v>389</v>
      </c>
      <c r="CB8">
        <v>944</v>
      </c>
      <c r="CC8">
        <v>8.02</v>
      </c>
      <c r="CD8">
        <v>7.5</v>
      </c>
      <c r="CE8">
        <v>8.6</v>
      </c>
      <c r="CF8">
        <v>44.5</v>
      </c>
      <c r="CG8">
        <v>27.6</v>
      </c>
      <c r="CH8">
        <v>87.8</v>
      </c>
      <c r="CI8">
        <v>42.4</v>
      </c>
      <c r="CJ8">
        <v>38.3</v>
      </c>
      <c r="CK8">
        <v>39.1</v>
      </c>
      <c r="CL8">
        <v>39.4</v>
      </c>
      <c r="CM8">
        <v>38.8</v>
      </c>
      <c r="CN8">
        <v>32.4</v>
      </c>
      <c r="CO8">
        <v>32.6</v>
      </c>
      <c r="CP8">
        <v>253.7</v>
      </c>
      <c r="CQ8">
        <v>248</v>
      </c>
      <c r="CR8">
        <v>253</v>
      </c>
      <c r="CS8">
        <v>293.6</v>
      </c>
      <c r="CT8">
        <v>285.1</v>
      </c>
      <c r="CU8">
        <v>288</v>
      </c>
      <c r="CV8">
        <v>36.3</v>
      </c>
      <c r="CW8">
        <v>16.9</v>
      </c>
      <c r="CX8">
        <v>26.1</v>
      </c>
      <c r="CY8">
        <v>26.1</v>
      </c>
      <c r="CZ8">
        <v>26.3</v>
      </c>
      <c r="DA8">
        <v>37.8</v>
      </c>
      <c r="DB8">
        <v>118</v>
      </c>
      <c r="DC8">
        <v>27.9</v>
      </c>
      <c r="DD8">
        <v>37.2</v>
      </c>
      <c r="DE8">
        <v>74.9</v>
      </c>
      <c r="DF8">
        <v>53.3</v>
      </c>
      <c r="DG8">
        <v>53.3</v>
      </c>
      <c r="DH8">
        <v>21.5</v>
      </c>
      <c r="DI8">
        <v>31</v>
      </c>
      <c r="DJ8">
        <v>12.1</v>
      </c>
      <c r="DK8">
        <v>15.8</v>
      </c>
      <c r="DL8">
        <v>13.1</v>
      </c>
      <c r="DM8">
        <v>25.6</v>
      </c>
      <c r="DN8">
        <v>26.5</v>
      </c>
      <c r="DO8">
        <v>31.2</v>
      </c>
      <c r="DP8">
        <v>84.5</v>
      </c>
      <c r="DQ8">
        <v>34.1</v>
      </c>
      <c r="DR8">
        <v>34.6</v>
      </c>
      <c r="DS8">
        <v>67.32</v>
      </c>
      <c r="DT8">
        <v>68.43</v>
      </c>
      <c r="DU8">
        <v>56.39</v>
      </c>
      <c r="DV8">
        <v>67.32</v>
      </c>
      <c r="DW8">
        <v>24.1</v>
      </c>
      <c r="DX8">
        <v>68.4</v>
      </c>
      <c r="DY8">
        <v>72.2</v>
      </c>
      <c r="DZ8">
        <v>17.6</v>
      </c>
      <c r="EA8">
        <v>16.8</v>
      </c>
      <c r="EB8">
        <v>13.8</v>
      </c>
      <c r="EC8">
        <v>25.6</v>
      </c>
      <c r="ED8">
        <v>31.2</v>
      </c>
      <c r="EE8">
        <v>29.7</v>
      </c>
      <c r="EF8">
        <v>34.1</v>
      </c>
      <c r="EG8">
        <v>34.6</v>
      </c>
      <c r="EH8">
        <v>68.4</v>
      </c>
      <c r="EI8">
        <v>84.5</v>
      </c>
      <c r="EJ8">
        <v>16.7</v>
      </c>
      <c r="EK8">
        <v>16.3</v>
      </c>
      <c r="EL8">
        <v>16.4</v>
      </c>
      <c r="EM8">
        <v>27.9</v>
      </c>
      <c r="EN8">
        <v>26.4</v>
      </c>
      <c r="EO8">
        <v>26.5</v>
      </c>
      <c r="EP8">
        <v>25.1</v>
      </c>
      <c r="EQ8">
        <v>32.7</v>
      </c>
      <c r="ER8">
        <v>31.5</v>
      </c>
      <c r="ES8">
        <v>31.7</v>
      </c>
      <c r="ET8">
        <v>31</v>
      </c>
    </row>
    <row r="9" spans="1:151" ht="16.5" customHeight="1">
      <c r="A9">
        <v>43.14</v>
      </c>
      <c r="B9">
        <v>280</v>
      </c>
      <c r="C9">
        <f>SLOPE(A6:A9,B6:B9)</f>
        <v>0.09686780700794526</v>
      </c>
      <c r="D9">
        <f>INTERCEPT(data1!A6:A9,B6:B9)</f>
        <v>16.021383559364963</v>
      </c>
      <c r="BD9">
        <v>118.6</v>
      </c>
      <c r="BE9">
        <v>226.9</v>
      </c>
      <c r="BF9">
        <v>251</v>
      </c>
      <c r="BG9">
        <v>344</v>
      </c>
      <c r="BH9">
        <v>499.5</v>
      </c>
      <c r="BI9">
        <v>571</v>
      </c>
      <c r="BJ9">
        <v>205.9</v>
      </c>
      <c r="BK9">
        <v>232.4</v>
      </c>
      <c r="BL9">
        <v>292</v>
      </c>
      <c r="BM9">
        <v>322</v>
      </c>
      <c r="BN9">
        <v>465</v>
      </c>
      <c r="BO9" t="s">
        <v>138</v>
      </c>
      <c r="BP9">
        <v>38.78</v>
      </c>
      <c r="BQ9">
        <v>41.69</v>
      </c>
      <c r="BR9">
        <v>79.42</v>
      </c>
      <c r="BS9" t="s">
        <v>138</v>
      </c>
      <c r="BT9">
        <v>16.58</v>
      </c>
      <c r="BU9" t="s">
        <v>138</v>
      </c>
      <c r="BV9">
        <v>43.65</v>
      </c>
      <c r="BW9">
        <v>276</v>
      </c>
      <c r="BX9">
        <v>667</v>
      </c>
      <c r="BY9">
        <v>10.9</v>
      </c>
      <c r="BZ9">
        <v>129</v>
      </c>
      <c r="CA9">
        <v>389</v>
      </c>
      <c r="CB9">
        <v>944</v>
      </c>
      <c r="CC9">
        <v>8.56</v>
      </c>
      <c r="CD9">
        <v>7.5</v>
      </c>
      <c r="CE9">
        <v>8.6</v>
      </c>
      <c r="CF9">
        <v>44.5</v>
      </c>
      <c r="CG9">
        <v>27.6</v>
      </c>
      <c r="CH9">
        <v>87.8</v>
      </c>
      <c r="CI9">
        <v>42.4</v>
      </c>
      <c r="CJ9">
        <v>38.3</v>
      </c>
      <c r="CK9">
        <v>39.1</v>
      </c>
      <c r="CL9">
        <v>39.4</v>
      </c>
      <c r="CM9">
        <v>38.8</v>
      </c>
      <c r="CN9">
        <v>32.4</v>
      </c>
      <c r="CO9">
        <v>32.6</v>
      </c>
      <c r="CP9">
        <v>253.7</v>
      </c>
      <c r="CQ9">
        <v>248</v>
      </c>
      <c r="CR9">
        <v>253</v>
      </c>
      <c r="CS9">
        <v>293.6</v>
      </c>
      <c r="CT9">
        <v>285.1</v>
      </c>
      <c r="CU9">
        <v>288</v>
      </c>
      <c r="CV9">
        <v>37.6</v>
      </c>
      <c r="CW9">
        <v>17.4</v>
      </c>
      <c r="CX9">
        <v>26.5</v>
      </c>
      <c r="CY9">
        <v>30.3</v>
      </c>
      <c r="CZ9">
        <v>33.3</v>
      </c>
      <c r="DA9">
        <v>38.4</v>
      </c>
      <c r="DB9">
        <v>128.8</v>
      </c>
      <c r="DC9">
        <v>34.4</v>
      </c>
      <c r="DD9">
        <v>38</v>
      </c>
      <c r="DE9">
        <v>75.7</v>
      </c>
      <c r="DF9" t="s">
        <v>182</v>
      </c>
      <c r="DG9" t="s">
        <v>182</v>
      </c>
      <c r="DH9">
        <v>26</v>
      </c>
      <c r="DI9">
        <v>37</v>
      </c>
      <c r="DJ9">
        <v>19</v>
      </c>
      <c r="DK9">
        <v>18.2</v>
      </c>
      <c r="DL9">
        <v>16.3</v>
      </c>
      <c r="DM9">
        <v>26.5</v>
      </c>
      <c r="DN9">
        <v>33.8</v>
      </c>
      <c r="DO9">
        <v>39.4</v>
      </c>
      <c r="DP9">
        <v>90.5</v>
      </c>
      <c r="DQ9">
        <v>36.4</v>
      </c>
      <c r="DR9">
        <v>42.2</v>
      </c>
      <c r="DS9">
        <v>68.24</v>
      </c>
      <c r="DT9">
        <v>69.53</v>
      </c>
      <c r="DU9">
        <v>58.38</v>
      </c>
      <c r="DV9">
        <v>68.24</v>
      </c>
      <c r="DW9">
        <v>35.3</v>
      </c>
      <c r="DX9">
        <v>84.5</v>
      </c>
      <c r="DY9">
        <v>73.4</v>
      </c>
      <c r="DZ9">
        <v>20.1</v>
      </c>
      <c r="EA9">
        <v>19</v>
      </c>
      <c r="EB9">
        <v>16.3</v>
      </c>
      <c r="EC9">
        <v>26.5</v>
      </c>
      <c r="ED9">
        <v>33.8</v>
      </c>
      <c r="EE9">
        <v>35.3</v>
      </c>
      <c r="EF9">
        <v>36.4</v>
      </c>
      <c r="EG9">
        <v>42.2</v>
      </c>
      <c r="EH9">
        <v>84.5</v>
      </c>
      <c r="EI9">
        <v>90.5</v>
      </c>
      <c r="EJ9">
        <v>16.9</v>
      </c>
      <c r="EK9">
        <v>16.7</v>
      </c>
      <c r="EL9">
        <v>16.3</v>
      </c>
      <c r="EM9">
        <v>28.4</v>
      </c>
      <c r="EN9">
        <v>27.4</v>
      </c>
      <c r="EO9">
        <v>27.3</v>
      </c>
      <c r="EP9">
        <v>25.6</v>
      </c>
      <c r="EQ9">
        <v>32.4</v>
      </c>
      <c r="ER9">
        <v>31.6</v>
      </c>
      <c r="ES9">
        <v>31.8</v>
      </c>
      <c r="ET9">
        <v>31.5</v>
      </c>
      <c r="EU9" t="b">
        <f>A9='Master Data'!AA4</f>
        <v>1</v>
      </c>
    </row>
    <row r="10" spans="1:2" ht="12.75">
      <c r="A10">
        <v>39.2</v>
      </c>
      <c r="B10">
        <v>174</v>
      </c>
    </row>
    <row r="11" spans="1:2" ht="12.75">
      <c r="A11">
        <v>38.92</v>
      </c>
      <c r="B11">
        <v>1.14</v>
      </c>
    </row>
    <row r="12" spans="1:2" ht="12.75">
      <c r="A12">
        <v>39.2</v>
      </c>
      <c r="B12">
        <v>189</v>
      </c>
    </row>
    <row r="13" spans="1:151" ht="12.75">
      <c r="A13">
        <v>40.23</v>
      </c>
      <c r="B13">
        <v>325</v>
      </c>
      <c r="C13">
        <f>SLOPE(A10:A13,B10:B13)</f>
        <v>0.003879719612667426</v>
      </c>
      <c r="D13">
        <f>INTERCEPT(data1!A10:A13,B10:B13)</f>
        <v>38.71908250653159</v>
      </c>
      <c r="EU13" t="b">
        <f>A13='Master Data'!AA5</f>
        <v>1</v>
      </c>
    </row>
    <row r="14" spans="1:2" ht="12.75">
      <c r="A14">
        <v>17.61</v>
      </c>
      <c r="B14">
        <v>175</v>
      </c>
    </row>
    <row r="15" spans="1:2" ht="12.75">
      <c r="A15">
        <v>17.55</v>
      </c>
      <c r="B15">
        <v>1.25</v>
      </c>
    </row>
    <row r="16" spans="1:2" ht="12.75">
      <c r="A16">
        <v>17.59</v>
      </c>
      <c r="B16">
        <v>150</v>
      </c>
    </row>
    <row r="17" spans="1:151" ht="12.75">
      <c r="A17">
        <v>18.56</v>
      </c>
      <c r="B17">
        <v>225</v>
      </c>
      <c r="C17">
        <f>SLOPE(A14:A17,B14:B17)</f>
        <v>0.003267466220491253</v>
      </c>
      <c r="D17">
        <f>INTERCEPT(data1!A14:A17,B14:B17)</f>
        <v>17.37720231148855</v>
      </c>
      <c r="EU17" t="b">
        <f>A17='Master Data'!AA6</f>
        <v>1</v>
      </c>
    </row>
    <row r="18" spans="1:2" ht="12.75">
      <c r="A18">
        <v>31.58</v>
      </c>
      <c r="B18">
        <v>175</v>
      </c>
    </row>
    <row r="19" spans="1:2" ht="12.75">
      <c r="A19">
        <v>30.21</v>
      </c>
      <c r="B19">
        <v>1.2</v>
      </c>
    </row>
    <row r="20" spans="1:2" ht="12.75">
      <c r="A20">
        <v>31.5</v>
      </c>
      <c r="B20">
        <v>152</v>
      </c>
    </row>
    <row r="21" spans="1:151" ht="12.75">
      <c r="A21">
        <v>32.1</v>
      </c>
      <c r="B21">
        <v>250</v>
      </c>
      <c r="C21">
        <f>SLOPE(A18:A21,B18:B21)</f>
        <v>0.00767580362756775</v>
      </c>
      <c r="D21">
        <f>INTERCEPT(data1!A18:A21,B18:B21)</f>
        <v>30.237962585635078</v>
      </c>
      <c r="EU21" t="b">
        <f>A21='Master Data'!AA7</f>
        <v>1</v>
      </c>
    </row>
    <row r="22" spans="1:2" ht="12.75">
      <c r="A22">
        <v>29.7</v>
      </c>
      <c r="B22">
        <v>177</v>
      </c>
    </row>
    <row r="23" spans="1:2" ht="12.75">
      <c r="A23">
        <v>25.1</v>
      </c>
      <c r="B23">
        <v>11.1</v>
      </c>
    </row>
    <row r="24" spans="1:2" ht="12.75">
      <c r="A24">
        <v>26.7</v>
      </c>
      <c r="B24">
        <v>197</v>
      </c>
    </row>
    <row r="25" spans="1:151" ht="12.75">
      <c r="A25">
        <v>30.6</v>
      </c>
      <c r="B25">
        <v>257</v>
      </c>
      <c r="C25">
        <f>SLOPE(A22:A25,B22:B25)</f>
        <v>0.02000046183320856</v>
      </c>
      <c r="D25">
        <f>INTERCEPT(data1!A22:A25,B22:B25)</f>
        <v>24.814425864224194</v>
      </c>
      <c r="EU25" t="b">
        <f>A25='Master Data'!AA8</f>
        <v>1</v>
      </c>
    </row>
    <row r="26" spans="1:2" ht="12.75">
      <c r="A26">
        <v>32.73</v>
      </c>
      <c r="B26">
        <v>175</v>
      </c>
    </row>
    <row r="27" spans="1:2" ht="12.75">
      <c r="A27">
        <v>32.66</v>
      </c>
      <c r="B27">
        <v>1.11</v>
      </c>
    </row>
    <row r="28" spans="1:2" ht="12.75">
      <c r="A28">
        <v>32.73</v>
      </c>
      <c r="B28">
        <v>189</v>
      </c>
    </row>
    <row r="29" spans="1:151" ht="12.75">
      <c r="A29">
        <v>32.89</v>
      </c>
      <c r="B29">
        <v>275</v>
      </c>
      <c r="C29">
        <f>SLOPE(A26:A29,B26:B29)</f>
        <v>0.0007466374103123092</v>
      </c>
      <c r="D29">
        <f>INTERCEPT(data1!A26:A29,B26:B29)</f>
        <v>32.63301748182124</v>
      </c>
      <c r="EU29" t="b">
        <f>A29='Master Data'!AA9</f>
        <v>1</v>
      </c>
    </row>
    <row r="30" spans="1:2" ht="12.75">
      <c r="A30">
        <v>34.72</v>
      </c>
      <c r="B30">
        <v>174</v>
      </c>
    </row>
    <row r="31" spans="1:2" ht="12.75">
      <c r="A31">
        <v>34.67</v>
      </c>
      <c r="B31">
        <v>1.11</v>
      </c>
    </row>
    <row r="32" spans="1:2" ht="12.75">
      <c r="A32">
        <v>36.34</v>
      </c>
      <c r="B32">
        <v>182</v>
      </c>
    </row>
    <row r="33" spans="1:151" ht="12.75">
      <c r="A33">
        <v>36.8</v>
      </c>
      <c r="B33">
        <v>350</v>
      </c>
      <c r="C33">
        <f>SLOPE(A30:A33,B30:B33)</f>
        <v>0.006199442393882695</v>
      </c>
      <c r="D33">
        <f>INTERCEPT(data1!A30:A33,B30:B33)</f>
        <v>34.536578072215406</v>
      </c>
      <c r="EU33" t="b">
        <f>A33='Master Data'!AA10</f>
        <v>1</v>
      </c>
    </row>
    <row r="34" spans="1:2" ht="12.75">
      <c r="A34">
        <v>31.8</v>
      </c>
      <c r="B34">
        <v>175</v>
      </c>
    </row>
    <row r="35" spans="1:2" ht="12.75">
      <c r="A35">
        <v>27.7</v>
      </c>
      <c r="B35">
        <v>2.6</v>
      </c>
    </row>
    <row r="36" spans="1:2" ht="12.75">
      <c r="A36">
        <v>30.8</v>
      </c>
      <c r="B36">
        <v>155</v>
      </c>
    </row>
    <row r="37" spans="1:151" ht="12.75">
      <c r="A37">
        <v>33.1</v>
      </c>
      <c r="B37">
        <v>282</v>
      </c>
      <c r="C37">
        <f>SLOPE(A34:A37,B34:B37)</f>
        <v>0.01974490451845112</v>
      </c>
      <c r="D37">
        <f>INTERCEPT(data1!A34:A37,B34:B37)</f>
        <v>27.816195420739987</v>
      </c>
      <c r="EU37" t="b">
        <f>A37='Master Data'!AA11</f>
        <v>1</v>
      </c>
    </row>
    <row r="38" spans="1:2" ht="12.75">
      <c r="A38">
        <v>41.536</v>
      </c>
      <c r="B38">
        <v>176</v>
      </c>
    </row>
    <row r="39" spans="1:2" ht="12.75">
      <c r="A39">
        <v>41.39</v>
      </c>
      <c r="B39">
        <v>1.14</v>
      </c>
    </row>
    <row r="40" spans="1:2" ht="12.75">
      <c r="A40">
        <v>41.67</v>
      </c>
      <c r="B40">
        <v>180</v>
      </c>
    </row>
    <row r="41" spans="1:151" ht="12.75">
      <c r="A41">
        <v>43</v>
      </c>
      <c r="B41">
        <v>325</v>
      </c>
      <c r="C41">
        <f>SLOPE(A38:A41,B38:B41)</f>
        <v>0.004786780414498965</v>
      </c>
      <c r="D41">
        <f>INTERCEPT(data1!A38:A41,B38:B41)</f>
        <v>41.08268640201342</v>
      </c>
      <c r="EU41" t="b">
        <f>A41='Master Data'!AA12</f>
        <v>1</v>
      </c>
    </row>
    <row r="42" spans="1:2" ht="12.75">
      <c r="A42">
        <v>65.2</v>
      </c>
      <c r="B42">
        <v>174</v>
      </c>
    </row>
    <row r="43" spans="1:2" ht="12.75">
      <c r="A43">
        <v>47.6</v>
      </c>
      <c r="B43">
        <v>16.8</v>
      </c>
    </row>
    <row r="44" spans="1:2" ht="12.75">
      <c r="A44">
        <v>58.6</v>
      </c>
      <c r="B44">
        <v>154</v>
      </c>
    </row>
    <row r="45" spans="1:151" ht="12.75">
      <c r="A45">
        <v>65.7</v>
      </c>
      <c r="B45">
        <v>310</v>
      </c>
      <c r="C45">
        <f>SLOPE(A42:A45,B42:B45)</f>
        <v>0.06304748945661628</v>
      </c>
      <c r="D45">
        <f>INTERCEPT(data1!A42:A45,B42:B45)</f>
        <v>48.954125975951925</v>
      </c>
      <c r="EU45" t="b">
        <f>A45='Master Data'!AA13</f>
        <v>1</v>
      </c>
    </row>
    <row r="46" spans="1:2" ht="12.75">
      <c r="A46">
        <v>28.55</v>
      </c>
      <c r="B46">
        <v>176</v>
      </c>
    </row>
    <row r="47" spans="1:2" ht="12.75">
      <c r="A47">
        <v>27.49</v>
      </c>
      <c r="B47">
        <v>1.12</v>
      </c>
    </row>
    <row r="48" spans="1:2" ht="12.75">
      <c r="A48">
        <v>29.21</v>
      </c>
      <c r="B48">
        <v>149</v>
      </c>
    </row>
    <row r="49" spans="1:151" ht="12.75">
      <c r="A49">
        <v>29.81</v>
      </c>
      <c r="B49">
        <v>300</v>
      </c>
      <c r="C49">
        <f>SLOPE(A46:A49,B46:B49)</f>
        <v>0.007538726002259806</v>
      </c>
      <c r="D49">
        <f>INTERCEPT(data1!A46:A49,B46:B49)</f>
        <v>27.584963218866275</v>
      </c>
      <c r="EU49" t="b">
        <f>A49='Master Data'!AA14</f>
        <v>1</v>
      </c>
    </row>
    <row r="50" spans="1:2" ht="12.75">
      <c r="A50">
        <v>19.8</v>
      </c>
      <c r="B50">
        <v>178</v>
      </c>
    </row>
    <row r="51" spans="1:2" ht="12.75">
      <c r="A51">
        <v>19.71</v>
      </c>
      <c r="B51">
        <v>1.1</v>
      </c>
    </row>
    <row r="52" spans="1:2" ht="12.75">
      <c r="A52">
        <v>20</v>
      </c>
      <c r="B52">
        <v>153</v>
      </c>
    </row>
    <row r="53" spans="1:151" ht="12.75">
      <c r="A53">
        <v>20.54</v>
      </c>
      <c r="B53">
        <v>225</v>
      </c>
      <c r="C53">
        <f>SLOPE(A50:A53,B50:B53)</f>
        <v>0.002794871824497092</v>
      </c>
      <c r="D53">
        <f>INTERCEPT(data1!A50:A53,B50:B53)</f>
        <v>19.62324422664317</v>
      </c>
      <c r="EU53" t="b">
        <f>A53='Master Data'!AA15</f>
        <v>1</v>
      </c>
    </row>
    <row r="54" spans="1:2" ht="12.75">
      <c r="A54">
        <v>36.34</v>
      </c>
      <c r="B54">
        <v>175</v>
      </c>
    </row>
    <row r="55" spans="1:2" ht="12.75">
      <c r="A55">
        <v>35.97</v>
      </c>
      <c r="B55">
        <v>1.15</v>
      </c>
    </row>
    <row r="56" spans="1:2" ht="12.75">
      <c r="A56">
        <v>36.3</v>
      </c>
      <c r="B56">
        <v>187</v>
      </c>
    </row>
    <row r="57" spans="1:151" ht="12.75">
      <c r="A57">
        <v>37.98</v>
      </c>
      <c r="B57">
        <v>275</v>
      </c>
      <c r="C57">
        <f>SLOPE(A54:A57,B54:B57)</f>
        <v>0.006263744909139462</v>
      </c>
      <c r="D57">
        <f>INTERCEPT(data1!A54:A57,B54:B57)</f>
        <v>35.648197796558165</v>
      </c>
      <c r="EU57" t="b">
        <f>A57='Master Data'!AA16</f>
        <v>1</v>
      </c>
    </row>
    <row r="58" spans="1:2" ht="12.75">
      <c r="A58">
        <v>33.6</v>
      </c>
      <c r="B58">
        <v>173</v>
      </c>
    </row>
    <row r="59" spans="1:2" ht="12.75">
      <c r="A59">
        <v>28.3</v>
      </c>
      <c r="B59">
        <v>4.2</v>
      </c>
    </row>
    <row r="60" spans="1:2" ht="12.75">
      <c r="A60">
        <v>32.4</v>
      </c>
      <c r="B60">
        <v>201</v>
      </c>
    </row>
    <row r="61" spans="1:151" ht="12.75">
      <c r="A61">
        <v>34.4</v>
      </c>
      <c r="B61">
        <v>263</v>
      </c>
      <c r="C61">
        <f>SLOPE(A58:A61,B58:B61)</f>
        <v>0.023430345189571673</v>
      </c>
      <c r="D61">
        <f>INTERCEPT(data1!A58:A61,B58:B61)</f>
        <v>28.419115666111665</v>
      </c>
      <c r="EU61" t="b">
        <f>A61='Master Data'!AA17</f>
        <v>1</v>
      </c>
    </row>
    <row r="62" spans="1:2" ht="12.75">
      <c r="A62">
        <v>66.5</v>
      </c>
      <c r="B62">
        <v>175</v>
      </c>
    </row>
    <row r="63" spans="1:2" ht="12.75">
      <c r="A63">
        <v>50.3</v>
      </c>
      <c r="B63">
        <v>118</v>
      </c>
    </row>
    <row r="64" spans="1:2" ht="12.75">
      <c r="A64">
        <v>94.2</v>
      </c>
      <c r="B64">
        <v>365</v>
      </c>
    </row>
    <row r="65" spans="1:151" ht="12.75">
      <c r="A65">
        <v>94.2</v>
      </c>
      <c r="B65">
        <v>365</v>
      </c>
      <c r="C65">
        <f>SLOPE(A62:A65,B62:B65)</f>
        <v>0.16780525353603387</v>
      </c>
      <c r="D65">
        <f>INTERCEPT(data1!A62:A65,B62:B65)</f>
        <v>33.38380640815934</v>
      </c>
      <c r="EU65" t="b">
        <f>A65='Master Data'!AA18</f>
        <v>1</v>
      </c>
    </row>
    <row r="66" spans="1:2" ht="12.75">
      <c r="A66">
        <v>59.8</v>
      </c>
      <c r="B66">
        <v>175</v>
      </c>
    </row>
    <row r="67" spans="1:2" ht="12.75">
      <c r="A67">
        <v>30.7</v>
      </c>
      <c r="B67">
        <v>45.5</v>
      </c>
    </row>
    <row r="68" spans="1:2" ht="12.75">
      <c r="A68">
        <v>61.9</v>
      </c>
      <c r="B68">
        <v>191.5</v>
      </c>
    </row>
    <row r="69" spans="1:151" ht="12.75">
      <c r="A69">
        <v>84.8</v>
      </c>
      <c r="B69">
        <v>310.2</v>
      </c>
      <c r="C69">
        <f>SLOPE(A66:A69,B66:B69)</f>
        <v>0.2043903787480826</v>
      </c>
      <c r="D69">
        <f>INTERCEPT(data1!A66:A69,B66:B69)</f>
        <v>22.39731711703368</v>
      </c>
      <c r="EU69" t="b">
        <f>A69='Master Data'!AA19</f>
        <v>1</v>
      </c>
    </row>
    <row r="70" spans="1:2" ht="12.75">
      <c r="A70">
        <v>29.99</v>
      </c>
      <c r="B70">
        <v>175</v>
      </c>
    </row>
    <row r="71" spans="1:2" ht="12.75">
      <c r="A71">
        <v>17.42</v>
      </c>
      <c r="B71">
        <v>50.39</v>
      </c>
    </row>
    <row r="72" spans="1:2" ht="12.75">
      <c r="A72">
        <v>38.9</v>
      </c>
      <c r="B72">
        <v>264.5</v>
      </c>
    </row>
    <row r="73" spans="1:151" ht="12.75">
      <c r="A73">
        <v>38.9</v>
      </c>
      <c r="B73">
        <v>264.5</v>
      </c>
      <c r="C73">
        <f>SLOPE(A70:A73,B70:B73)</f>
        <v>0.10029188025902484</v>
      </c>
      <c r="D73">
        <f>INTERCEPT(data1!A70:A73,B70:B73)</f>
        <v>12.387702112848565</v>
      </c>
      <c r="EU73" t="b">
        <f>A73='Master Data'!AA20</f>
        <v>1</v>
      </c>
    </row>
    <row r="74" spans="1:2" ht="12.75">
      <c r="A74">
        <v>34.52</v>
      </c>
      <c r="B74">
        <v>175</v>
      </c>
    </row>
    <row r="75" spans="1:2" ht="12.75">
      <c r="A75">
        <v>26.02</v>
      </c>
      <c r="B75">
        <v>101.13</v>
      </c>
    </row>
    <row r="76" spans="1:2" ht="12.75">
      <c r="A76">
        <v>66.5</v>
      </c>
      <c r="B76">
        <v>504.1</v>
      </c>
    </row>
    <row r="77" spans="1:151" ht="12.75">
      <c r="A77">
        <v>66.5</v>
      </c>
      <c r="B77">
        <v>504.1</v>
      </c>
      <c r="C77">
        <f>SLOPE(A74:A77,B74:B77)</f>
        <v>0.09930066995293697</v>
      </c>
      <c r="D77">
        <f>INTERCEPT(data1!A74:A77,B74:B77)</f>
        <v>16.50129263983612</v>
      </c>
      <c r="EU77" t="b">
        <f>A77='Master Data'!AA21</f>
        <v>1</v>
      </c>
    </row>
    <row r="78" spans="1:2" ht="12.75">
      <c r="A78">
        <v>45.01</v>
      </c>
      <c r="B78">
        <v>175</v>
      </c>
    </row>
    <row r="79" spans="1:2" ht="12.75">
      <c r="A79">
        <v>24.83</v>
      </c>
      <c r="B79">
        <v>65.01</v>
      </c>
    </row>
    <row r="80" spans="1:2" ht="12.75">
      <c r="A80">
        <v>68.7</v>
      </c>
      <c r="B80">
        <v>312.7</v>
      </c>
    </row>
    <row r="81" spans="1:152" ht="12.75">
      <c r="A81" s="417">
        <f>A80</f>
        <v>68.7</v>
      </c>
      <c r="B81">
        <v>312.7</v>
      </c>
      <c r="C81">
        <f>SLOPE(A78:A81,B78:B81)</f>
        <v>0.17644719270854053</v>
      </c>
      <c r="D81">
        <f>INTERCEPT(data1!A78:A81,B78:B81)</f>
        <v>13.635208739525481</v>
      </c>
      <c r="EU81" t="b">
        <f>A81='Master Data'!AA22</f>
        <v>0</v>
      </c>
      <c r="EV81" t="s">
        <v>302</v>
      </c>
    </row>
    <row r="82" spans="1:2" ht="12.75">
      <c r="A82">
        <v>43.3</v>
      </c>
      <c r="B82">
        <v>175</v>
      </c>
    </row>
    <row r="83" spans="1:2" ht="12.75">
      <c r="A83">
        <v>27.16</v>
      </c>
      <c r="B83">
        <v>75.17</v>
      </c>
    </row>
    <row r="84" spans="1:2" ht="12.75">
      <c r="A84">
        <v>69.3</v>
      </c>
      <c r="B84">
        <v>362.8</v>
      </c>
    </row>
    <row r="85" spans="1:151" ht="12.75">
      <c r="A85">
        <v>69.3</v>
      </c>
      <c r="B85">
        <v>362.8</v>
      </c>
      <c r="C85">
        <f>SLOPE(A82:A85,B82:B85)</f>
        <v>0.14481005447755796</v>
      </c>
      <c r="D85">
        <f>INTERCEPT(data1!A82:A85,B82:B85)</f>
        <v>16.939673285608322</v>
      </c>
      <c r="EU85" t="b">
        <f>A85='Master Data'!AA23</f>
        <v>1</v>
      </c>
    </row>
    <row r="86" spans="1:2" ht="12.75">
      <c r="A86">
        <v>28.3</v>
      </c>
      <c r="B86">
        <v>186</v>
      </c>
    </row>
    <row r="87" spans="1:2" ht="12.75">
      <c r="A87">
        <v>21.3</v>
      </c>
      <c r="B87">
        <v>105</v>
      </c>
    </row>
    <row r="89" spans="1:151" ht="12.75">
      <c r="A89">
        <v>38.4</v>
      </c>
      <c r="B89">
        <v>297</v>
      </c>
      <c r="C89">
        <f>SLOPE(A86:A89,B86:B89)</f>
        <v>0.08917769884834786</v>
      </c>
      <c r="D89">
        <f>INTERCEPT(data1!A86:A89,B86:B89)</f>
        <v>11.854504359057152</v>
      </c>
      <c r="EU89" t="b">
        <f>A89='Master Data'!AA24</f>
        <v>1</v>
      </c>
    </row>
    <row r="90" spans="1:2" ht="12.75">
      <c r="A90">
        <v>28.5</v>
      </c>
      <c r="B90">
        <v>184</v>
      </c>
    </row>
    <row r="91" spans="1:2" ht="12.75">
      <c r="A91">
        <v>16.4</v>
      </c>
      <c r="B91">
        <v>38.5</v>
      </c>
    </row>
    <row r="93" spans="1:151" ht="12.75">
      <c r="A93">
        <v>36.1</v>
      </c>
      <c r="B93">
        <v>280</v>
      </c>
      <c r="C93">
        <f>SLOPE(A90:A93,B90:B93)</f>
        <v>0.08170242986861462</v>
      </c>
      <c r="D93">
        <f>INTERCEPT(data1!A90:A93,B90:B93)</f>
        <v>13.314842997007052</v>
      </c>
      <c r="EU93" t="b">
        <f>A93='Master Data'!AA25</f>
        <v>1</v>
      </c>
    </row>
    <row r="94" spans="1:2" ht="12.75">
      <c r="A94">
        <v>21.9</v>
      </c>
      <c r="B94">
        <v>187</v>
      </c>
    </row>
    <row r="95" spans="1:2" ht="12.75">
      <c r="A95">
        <v>12.7</v>
      </c>
      <c r="B95">
        <v>46.9</v>
      </c>
    </row>
    <row r="96" spans="1:2" ht="12.75">
      <c r="A96">
        <v>25.3</v>
      </c>
      <c r="B96">
        <v>200</v>
      </c>
    </row>
    <row r="97" spans="1:151" ht="12.75">
      <c r="A97">
        <v>26.9</v>
      </c>
      <c r="B97">
        <v>258</v>
      </c>
      <c r="C97">
        <f>SLOPE(A94:A97,B94:B97)</f>
        <v>0.06972207112678232</v>
      </c>
      <c r="D97">
        <f>INTERCEPT(data1!A94:A97,B94:B97)</f>
        <v>9.639824746844825</v>
      </c>
      <c r="EU97" t="b">
        <f>A97='Master Data'!AA26</f>
        <v>1</v>
      </c>
    </row>
    <row r="98" spans="1:2" ht="12.75">
      <c r="A98">
        <v>15.5</v>
      </c>
      <c r="B98">
        <v>201</v>
      </c>
    </row>
    <row r="99" spans="1:2" ht="12.75">
      <c r="A99">
        <v>9.6</v>
      </c>
      <c r="B99">
        <v>35</v>
      </c>
    </row>
    <row r="100" spans="1:2" ht="12.75">
      <c r="A100">
        <v>17.2</v>
      </c>
      <c r="B100">
        <v>153</v>
      </c>
    </row>
    <row r="101" spans="1:151" ht="12.75">
      <c r="A101">
        <v>17.6</v>
      </c>
      <c r="B101">
        <v>259</v>
      </c>
      <c r="C101">
        <f>SLOPE(A98:A101,B98:B101)</f>
        <v>0.03455047899778925</v>
      </c>
      <c r="D101">
        <f>INTERCEPT(data1!A98:A101,B98:B101)</f>
        <v>9.377822402358142</v>
      </c>
      <c r="EU101" t="b">
        <f>A101='Master Data'!AA27</f>
        <v>1</v>
      </c>
    </row>
    <row r="102" spans="1:2" ht="12.75">
      <c r="A102">
        <v>15.4</v>
      </c>
      <c r="B102">
        <v>175</v>
      </c>
    </row>
    <row r="103" spans="1:2" ht="12.75">
      <c r="A103">
        <v>10.3</v>
      </c>
      <c r="B103">
        <v>37.7</v>
      </c>
    </row>
    <row r="105" spans="1:151" ht="12.75">
      <c r="A105">
        <v>18.2</v>
      </c>
      <c r="B105">
        <v>243</v>
      </c>
      <c r="C105">
        <f>SLOPE(A102:A105,B102:B105)</f>
        <v>0.038286659419249656</v>
      </c>
      <c r="D105">
        <f>INTERCEPT(data1!A102:A105,B102:B105)</f>
        <v>8.817589767549311</v>
      </c>
      <c r="EU105" t="b">
        <f>A105='Master Data'!AA28</f>
        <v>1</v>
      </c>
    </row>
    <row r="106" spans="1:2" ht="12.75">
      <c r="A106">
        <v>24.4</v>
      </c>
      <c r="B106">
        <v>179</v>
      </c>
    </row>
    <row r="107" spans="1:2" ht="12.75">
      <c r="A107">
        <v>15.2</v>
      </c>
      <c r="B107">
        <v>59.1</v>
      </c>
    </row>
    <row r="108" spans="1:2" ht="12.75">
      <c r="A108">
        <v>25.3</v>
      </c>
      <c r="B108">
        <v>163</v>
      </c>
    </row>
    <row r="109" spans="1:151" ht="12.75">
      <c r="A109">
        <v>31.5</v>
      </c>
      <c r="B109">
        <v>268</v>
      </c>
      <c r="C109">
        <f>SLOPE(A106:A109,B106:B109)</f>
        <v>0.07755768134114695</v>
      </c>
      <c r="D109">
        <f>INTERCEPT(data1!A106:A109,B106:B109)</f>
        <v>11.126538853659643</v>
      </c>
      <c r="EU109" t="b">
        <f>A109='Master Data'!AA29</f>
        <v>1</v>
      </c>
    </row>
    <row r="110" spans="1:2" ht="12.75">
      <c r="A110">
        <v>15.9</v>
      </c>
      <c r="B110">
        <v>180</v>
      </c>
    </row>
    <row r="111" spans="1:2" ht="12.75">
      <c r="A111">
        <v>9.3</v>
      </c>
      <c r="B111">
        <v>29</v>
      </c>
    </row>
    <row r="112" spans="1:2" ht="12.75">
      <c r="A112">
        <v>18.8</v>
      </c>
      <c r="B112">
        <v>194</v>
      </c>
    </row>
    <row r="113" spans="1:151" ht="12.75">
      <c r="A113">
        <v>19.5</v>
      </c>
      <c r="B113">
        <v>277</v>
      </c>
      <c r="C113">
        <f>SLOPE(A110:A113,B110:B113)</f>
        <v>0.04328563394363557</v>
      </c>
      <c r="D113">
        <f>INTERCEPT(data1!A110:A113,B110:B113)</f>
        <v>8.516442229581953</v>
      </c>
      <c r="EU113" t="b">
        <f>A113='Master Data'!AA30</f>
        <v>1</v>
      </c>
    </row>
    <row r="114" spans="1:2" ht="12.75">
      <c r="A114">
        <v>17.5</v>
      </c>
      <c r="B114">
        <v>177</v>
      </c>
    </row>
    <row r="115" spans="1:2" ht="12.75">
      <c r="A115">
        <v>10.1</v>
      </c>
      <c r="B115">
        <v>26.4</v>
      </c>
    </row>
    <row r="117" spans="1:151" ht="12.75">
      <c r="A117">
        <v>20.6</v>
      </c>
      <c r="B117">
        <v>247</v>
      </c>
      <c r="C117">
        <f>SLOPE(A114:A117,B114:B117)</f>
        <v>0.04784252601360463</v>
      </c>
      <c r="D117">
        <f>INTERCEPT(data1!A114:A117,B114:B117)</f>
        <v>8.883908761157493</v>
      </c>
      <c r="EU117" t="b">
        <f>A117='Master Data'!AA31</f>
        <v>1</v>
      </c>
    </row>
    <row r="118" spans="1:2" ht="12.75">
      <c r="A118">
        <v>18.4</v>
      </c>
      <c r="B118">
        <v>175</v>
      </c>
    </row>
    <row r="119" spans="1:2" ht="12.75">
      <c r="A119">
        <v>12.2</v>
      </c>
      <c r="B119">
        <v>18.3</v>
      </c>
    </row>
    <row r="120" spans="1:2" ht="12.75">
      <c r="A120">
        <v>21</v>
      </c>
      <c r="B120">
        <v>187</v>
      </c>
    </row>
    <row r="121" spans="1:151" ht="12.75">
      <c r="A121">
        <v>21.7</v>
      </c>
      <c r="B121">
        <v>218</v>
      </c>
      <c r="C121">
        <f>SLOPE(A118:A121,B118:B121)</f>
        <v>0.04745031934193766</v>
      </c>
      <c r="D121">
        <f>INTERCEPT(data1!A118:A121,B118:B121)</f>
        <v>11.227618484429673</v>
      </c>
      <c r="EU121" t="b">
        <f>A121='Master Data'!AA32</f>
        <v>1</v>
      </c>
    </row>
    <row r="122" spans="1:2" ht="12.75">
      <c r="A122">
        <v>26.7</v>
      </c>
      <c r="B122">
        <v>175</v>
      </c>
    </row>
    <row r="123" spans="1:2" ht="12.75">
      <c r="A123">
        <v>18.3</v>
      </c>
      <c r="B123">
        <v>19.7</v>
      </c>
    </row>
    <row r="124" spans="1:2" ht="12.75">
      <c r="A124">
        <v>32.3</v>
      </c>
      <c r="B124">
        <v>280</v>
      </c>
    </row>
    <row r="125" spans="1:151" ht="12.75">
      <c r="A125">
        <v>32.9</v>
      </c>
      <c r="B125">
        <v>290</v>
      </c>
      <c r="C125">
        <f>SLOPE(A122:A125,B122:B125)</f>
        <v>0.05389772855685728</v>
      </c>
      <c r="D125">
        <f>INTERCEPT(data1!A122:A125,B122:B125)</f>
        <v>17.246101743142805</v>
      </c>
      <c r="EU125" t="b">
        <f>A125='Master Data'!AA33</f>
        <v>1</v>
      </c>
    </row>
    <row r="126" spans="1:2" ht="12.75">
      <c r="A126">
        <v>19</v>
      </c>
      <c r="B126">
        <v>175</v>
      </c>
    </row>
    <row r="127" spans="1:2" ht="12.75">
      <c r="A127">
        <v>11.4</v>
      </c>
      <c r="B127">
        <v>18.8</v>
      </c>
    </row>
    <row r="128" spans="1:2" ht="12.75">
      <c r="A128">
        <v>20.1</v>
      </c>
      <c r="B128">
        <v>189</v>
      </c>
    </row>
    <row r="129" spans="1:151" ht="12.75">
      <c r="A129">
        <v>20.4</v>
      </c>
      <c r="B129">
        <v>216</v>
      </c>
      <c r="C129">
        <f>SLOPE(A126:A129,B126:B129)</f>
        <v>0.0476865353184556</v>
      </c>
      <c r="D129">
        <f>INTERCEPT(data1!A126:A129,B126:B129)</f>
        <v>10.5863256628272</v>
      </c>
      <c r="EU129" t="b">
        <f>A129='Master Data'!AA34</f>
        <v>1</v>
      </c>
    </row>
    <row r="130" spans="1:2" ht="12.75">
      <c r="A130">
        <v>19.5</v>
      </c>
      <c r="B130">
        <v>175</v>
      </c>
    </row>
    <row r="131" spans="1:2" ht="12.75">
      <c r="A131">
        <v>11.4</v>
      </c>
      <c r="B131">
        <v>18.8</v>
      </c>
    </row>
    <row r="132" spans="1:2" ht="12.75">
      <c r="A132">
        <v>26</v>
      </c>
      <c r="B132">
        <v>189</v>
      </c>
    </row>
    <row r="133" spans="1:151" ht="12.75">
      <c r="A133">
        <v>26.6</v>
      </c>
      <c r="B133">
        <v>216</v>
      </c>
      <c r="C133">
        <f>SLOPE(A130:A133,B130:B133)</f>
        <v>0.07533054916955795</v>
      </c>
      <c r="D133">
        <f>INTERCEPT(data1!A130:A133,B130:B133)</f>
        <v>9.598016789317176</v>
      </c>
      <c r="EU133" t="b">
        <f>A133='Master Data'!AA35</f>
        <v>1</v>
      </c>
    </row>
    <row r="134" spans="1:2" ht="12.75">
      <c r="A134">
        <v>28</v>
      </c>
      <c r="B134">
        <v>175</v>
      </c>
    </row>
    <row r="135" spans="1:2" ht="12.75">
      <c r="A135">
        <v>17.1</v>
      </c>
      <c r="B135">
        <v>27.6</v>
      </c>
    </row>
    <row r="136" spans="1:2" ht="12.75">
      <c r="A136">
        <v>35.1</v>
      </c>
      <c r="B136">
        <v>265</v>
      </c>
    </row>
    <row r="137" spans="1:151" ht="12.75">
      <c r="A137">
        <v>35.5</v>
      </c>
      <c r="B137">
        <v>267</v>
      </c>
      <c r="C137">
        <f>SLOPE(A134:A137,B134:B137)</f>
        <v>0.07642913001260546</v>
      </c>
      <c r="D137">
        <f>INTERCEPT(data1!A134:A137,B134:B137)</f>
        <v>14.888790273185009</v>
      </c>
      <c r="EU137" t="b">
        <f>A137='Master Data'!AA36</f>
        <v>1</v>
      </c>
    </row>
    <row r="138" spans="1:2" ht="12.75">
      <c r="A138">
        <v>29</v>
      </c>
      <c r="B138">
        <v>175</v>
      </c>
    </row>
    <row r="139" spans="1:2" ht="12.75">
      <c r="A139">
        <v>20.3</v>
      </c>
      <c r="B139">
        <v>26.7</v>
      </c>
    </row>
    <row r="140" spans="1:2" ht="12.75">
      <c r="A140">
        <v>33.3</v>
      </c>
      <c r="B140">
        <v>268</v>
      </c>
    </row>
    <row r="141" spans="1:151" ht="12.75">
      <c r="A141">
        <v>33.7</v>
      </c>
      <c r="B141">
        <v>284</v>
      </c>
      <c r="C141">
        <f>SLOPE(A138:A141,B138:B141)</f>
        <v>0.05259040737735611</v>
      </c>
      <c r="D141">
        <f>INTERCEPT(data1!A138:A141,B138:B141)</f>
        <v>19.165652489921676</v>
      </c>
      <c r="EU141" t="b">
        <f>A141='Master Data'!AA37</f>
        <v>1</v>
      </c>
    </row>
    <row r="142" spans="1:2" ht="12.75">
      <c r="A142">
        <v>28</v>
      </c>
      <c r="B142">
        <v>175</v>
      </c>
    </row>
    <row r="143" spans="1:2" ht="12.75">
      <c r="A143">
        <v>15.9</v>
      </c>
      <c r="B143">
        <v>21</v>
      </c>
    </row>
    <row r="144" spans="1:2" ht="12.75">
      <c r="A144">
        <v>36</v>
      </c>
      <c r="B144">
        <v>279</v>
      </c>
    </row>
    <row r="145" spans="1:151" ht="12.75">
      <c r="A145">
        <v>36.8</v>
      </c>
      <c r="B145">
        <v>288</v>
      </c>
      <c r="C145">
        <f>SLOPE(A142:A145,B142:B145)</f>
        <v>0.0780797365508678</v>
      </c>
      <c r="D145">
        <f>INTERCEPT(data1!A142:A145,B142:B145)</f>
        <v>14.281290252921966</v>
      </c>
      <c r="EU145" t="b">
        <f>A145='Master Data'!AA38</f>
        <v>1</v>
      </c>
    </row>
    <row r="146" spans="1:2" ht="12.75">
      <c r="A146">
        <v>32</v>
      </c>
      <c r="B146">
        <v>175</v>
      </c>
    </row>
    <row r="147" spans="1:2" ht="12.75">
      <c r="A147">
        <v>19</v>
      </c>
      <c r="B147">
        <v>15.1</v>
      </c>
    </row>
    <row r="148" spans="1:2" ht="12.75">
      <c r="A148">
        <v>38</v>
      </c>
      <c r="B148">
        <v>208</v>
      </c>
    </row>
    <row r="149" spans="1:151" ht="12.75">
      <c r="A149">
        <v>38.7</v>
      </c>
      <c r="B149">
        <v>283</v>
      </c>
      <c r="C149">
        <f>SLOPE(A146:A149,B146:B149)</f>
        <v>0.07843966948114989</v>
      </c>
      <c r="D149">
        <f>INTERCEPT(data1!A146:A149,B146:B149)</f>
        <v>18.568685279097203</v>
      </c>
      <c r="EU149" t="b">
        <f>A149='Master Data'!AA39</f>
        <v>1</v>
      </c>
    </row>
    <row r="150" spans="1:2" ht="12.75">
      <c r="A150">
        <v>12.6</v>
      </c>
      <c r="B150">
        <v>175</v>
      </c>
    </row>
    <row r="151" spans="1:2" ht="12.75">
      <c r="A151">
        <v>9.1</v>
      </c>
      <c r="B151">
        <v>37</v>
      </c>
    </row>
    <row r="152" spans="1:2" ht="12.75">
      <c r="A152">
        <v>13.8</v>
      </c>
      <c r="B152">
        <v>200</v>
      </c>
    </row>
    <row r="153" spans="1:151" ht="12.75">
      <c r="A153">
        <v>14.1</v>
      </c>
      <c r="B153">
        <v>216</v>
      </c>
      <c r="C153">
        <f>SLOPE(A150:A153,B150:B153)</f>
        <v>0.02792959010671188</v>
      </c>
      <c r="D153">
        <f>INTERCEPT(data1!A150:A153,B150:B153)</f>
        <v>8.015054353246235</v>
      </c>
      <c r="EU153" t="b">
        <f>A153='Master Data'!AA40</f>
        <v>1</v>
      </c>
    </row>
    <row r="154" spans="1:2" ht="12.75">
      <c r="A154">
        <v>23.5</v>
      </c>
      <c r="B154">
        <v>175</v>
      </c>
    </row>
    <row r="155" spans="1:2" ht="12.75">
      <c r="A155">
        <v>16.5</v>
      </c>
      <c r="B155">
        <v>85</v>
      </c>
    </row>
    <row r="156" spans="1:2" ht="12.75">
      <c r="A156">
        <v>31.4</v>
      </c>
      <c r="B156">
        <v>295</v>
      </c>
    </row>
    <row r="157" spans="1:151" ht="12.75">
      <c r="A157">
        <v>32.1</v>
      </c>
      <c r="B157">
        <v>315</v>
      </c>
      <c r="C157">
        <f>SLOPE(A154:A157,B154:B157)</f>
        <v>0.06819354838709678</v>
      </c>
      <c r="D157">
        <f>INTERCEPT(data1!A154:A157,B154:B157)</f>
        <v>11.042903225806452</v>
      </c>
      <c r="EU157" t="b">
        <f>A157='Master Data'!AA41</f>
        <v>1</v>
      </c>
    </row>
    <row r="158" spans="1:2" ht="12.75">
      <c r="A158">
        <v>24.8</v>
      </c>
      <c r="B158">
        <v>175</v>
      </c>
    </row>
    <row r="159" spans="1:2" ht="12.75">
      <c r="A159">
        <v>17.7</v>
      </c>
      <c r="B159">
        <v>63</v>
      </c>
    </row>
    <row r="160" spans="1:2" ht="12.75">
      <c r="A160">
        <v>34.9</v>
      </c>
      <c r="B160">
        <v>300</v>
      </c>
    </row>
    <row r="161" spans="1:151" ht="12.75">
      <c r="A161">
        <v>35.8</v>
      </c>
      <c r="B161">
        <v>320</v>
      </c>
      <c r="C161">
        <f>SLOPE(A158:A161,B158:B161)</f>
        <v>0.07216492445230833</v>
      </c>
      <c r="D161">
        <f>INTERCEPT(data1!A158:A161,B158:B161)</f>
        <v>12.820623704979862</v>
      </c>
      <c r="EU161" t="b">
        <f>A161='Master Data'!AA42</f>
        <v>1</v>
      </c>
    </row>
    <row r="162" spans="1:2" ht="12.75">
      <c r="A162">
        <v>25.9</v>
      </c>
      <c r="B162">
        <v>175</v>
      </c>
    </row>
    <row r="163" spans="1:2" ht="12.75">
      <c r="A163">
        <v>17.9</v>
      </c>
      <c r="B163">
        <v>74</v>
      </c>
    </row>
    <row r="164" spans="1:2" ht="12.75">
      <c r="A164">
        <v>35.5</v>
      </c>
      <c r="B164">
        <v>290</v>
      </c>
    </row>
    <row r="165" spans="1:151" ht="12.75">
      <c r="A165">
        <v>37.7</v>
      </c>
      <c r="B165">
        <v>305</v>
      </c>
      <c r="C165">
        <f>SLOPE(A162:A165,B162:B165)</f>
        <v>0.08433213818223209</v>
      </c>
      <c r="D165">
        <f>INTERCEPT(data1!A162:A165,B162:B165)</f>
        <v>11.455918843549028</v>
      </c>
      <c r="EU165" t="b">
        <f>A165='Master Data'!AA43</f>
        <v>1</v>
      </c>
    </row>
    <row r="166" spans="1:2" ht="12.75">
      <c r="A166">
        <v>54.6</v>
      </c>
      <c r="B166">
        <v>175</v>
      </c>
    </row>
    <row r="167" spans="1:2" ht="12.75">
      <c r="A167">
        <v>37.5</v>
      </c>
      <c r="B167">
        <v>82</v>
      </c>
    </row>
    <row r="168" spans="1:2" ht="12.75">
      <c r="A168">
        <v>80.1</v>
      </c>
      <c r="B168">
        <v>400</v>
      </c>
    </row>
    <row r="169" spans="1:151" ht="12.75">
      <c r="A169">
        <v>88.4</v>
      </c>
      <c r="B169">
        <v>456</v>
      </c>
      <c r="C169">
        <f>SLOPE(A166:A169,B166:B169)</f>
        <v>0.1304330087794315</v>
      </c>
      <c r="D169">
        <f>INTERCEPT(data1!A166:A169,B166:B169)</f>
        <v>28.85701530712319</v>
      </c>
      <c r="EU169" t="b">
        <f>A169='Master Data'!AA44</f>
        <v>1</v>
      </c>
    </row>
    <row r="170" spans="1:2" ht="12.75">
      <c r="A170">
        <v>60.9</v>
      </c>
      <c r="B170">
        <v>100</v>
      </c>
    </row>
    <row r="171" ht="12.75">
      <c r="A171">
        <v>48.5</v>
      </c>
    </row>
    <row r="172" spans="1:2" ht="12.75">
      <c r="A172">
        <v>61.5</v>
      </c>
      <c r="B172">
        <v>109</v>
      </c>
    </row>
    <row r="173" spans="1:151" ht="12.75">
      <c r="A173">
        <v>61.5</v>
      </c>
      <c r="B173">
        <v>109</v>
      </c>
      <c r="C173">
        <f>SLOPE(A170:A173,B170:B173)</f>
        <v>0.06666666666666682</v>
      </c>
      <c r="D173">
        <f>INTERCEPT(data1!A170:A173,B170:B173)</f>
        <v>54.23333333333332</v>
      </c>
      <c r="EU173" t="b">
        <f>A173='Master Data'!AA45</f>
        <v>1</v>
      </c>
    </row>
    <row r="174" spans="1:2" ht="12.75">
      <c r="A174">
        <v>23.8</v>
      </c>
      <c r="B174">
        <v>175</v>
      </c>
    </row>
    <row r="175" spans="1:2" ht="12.75">
      <c r="A175">
        <v>15.4</v>
      </c>
      <c r="B175">
        <v>62</v>
      </c>
    </row>
    <row r="176" spans="1:2" ht="12.75">
      <c r="A176">
        <v>29.2</v>
      </c>
      <c r="B176">
        <v>251</v>
      </c>
    </row>
    <row r="177" spans="1:4" ht="12.75">
      <c r="A177">
        <v>30.1</v>
      </c>
      <c r="B177">
        <v>292</v>
      </c>
      <c r="C177">
        <f>SLOPE(A174:A177,B174:B177)</f>
        <v>0.06628909055298035</v>
      </c>
      <c r="D177">
        <f>INTERCEPT(data1!A174:A177,B174:B177)</f>
        <v>11.698627342168832</v>
      </c>
    </row>
    <row r="178" spans="1:2" ht="12.75">
      <c r="A178">
        <v>23.4</v>
      </c>
      <c r="B178">
        <v>175</v>
      </c>
    </row>
    <row r="179" spans="1:2" ht="12.75">
      <c r="A179">
        <v>16.8</v>
      </c>
      <c r="B179">
        <v>90</v>
      </c>
    </row>
    <row r="180" spans="1:2" ht="12.75">
      <c r="A180">
        <v>31.4</v>
      </c>
      <c r="B180">
        <v>298</v>
      </c>
    </row>
    <row r="181" spans="1:4" ht="12.75">
      <c r="A181">
        <v>32.2</v>
      </c>
      <c r="B181">
        <v>320</v>
      </c>
      <c r="C181">
        <f>SLOPE(A178:A181,B178:B181)</f>
        <v>0.06725417240960672</v>
      </c>
      <c r="D181">
        <f>INTERCEPT(data1!A178:A181,B178:B181)</f>
        <v>11.103641440579315</v>
      </c>
    </row>
    <row r="182" spans="1:2" ht="12.75">
      <c r="A182">
        <v>24.6</v>
      </c>
      <c r="B182">
        <v>175</v>
      </c>
    </row>
    <row r="183" spans="1:2" ht="12.75">
      <c r="A183">
        <v>17.8</v>
      </c>
      <c r="B183">
        <v>64</v>
      </c>
    </row>
    <row r="184" spans="1:2" ht="12.75">
      <c r="A184">
        <v>34.9</v>
      </c>
      <c r="B184">
        <v>301</v>
      </c>
    </row>
    <row r="185" spans="1:4" ht="12.75">
      <c r="A185">
        <v>35.7</v>
      </c>
      <c r="B185">
        <v>323</v>
      </c>
      <c r="C185">
        <f>SLOPE(A182:A185,B182:B185)</f>
        <v>0.0713423648862427</v>
      </c>
      <c r="D185">
        <f>INTERCEPT(data1!A182:A185,B182:B185)</f>
        <v>12.857884775793142</v>
      </c>
    </row>
    <row r="186" spans="1:2" ht="12.75">
      <c r="A186">
        <v>26.1</v>
      </c>
      <c r="B186">
        <v>175</v>
      </c>
    </row>
    <row r="187" spans="1:2" ht="12.75">
      <c r="A187">
        <v>18.1</v>
      </c>
      <c r="B187">
        <v>75</v>
      </c>
    </row>
    <row r="188" spans="1:2" ht="12.75">
      <c r="A188">
        <v>35.4</v>
      </c>
      <c r="B188">
        <v>290</v>
      </c>
    </row>
    <row r="189" spans="1:4" ht="12.75">
      <c r="A189">
        <v>37.8</v>
      </c>
      <c r="B189">
        <v>306</v>
      </c>
      <c r="C189">
        <f>SLOPE(A186:A189,B186:B189)</f>
        <v>0.08351256525087712</v>
      </c>
      <c r="D189">
        <f>INTERCEPT(data1!A186:A189,B186:B189)</f>
        <v>11.687092449439486</v>
      </c>
    </row>
    <row r="190" spans="1:2" ht="12.75">
      <c r="A190">
        <v>54.2</v>
      </c>
      <c r="B190">
        <v>175</v>
      </c>
    </row>
    <row r="191" spans="1:2" ht="12.75">
      <c r="A191">
        <v>37.4</v>
      </c>
      <c r="B191">
        <v>80</v>
      </c>
    </row>
    <row r="192" spans="1:2" ht="12.75">
      <c r="A192">
        <v>79.9</v>
      </c>
      <c r="B192">
        <v>298</v>
      </c>
    </row>
    <row r="193" spans="1:4" ht="12.75">
      <c r="A193">
        <v>87.6</v>
      </c>
      <c r="B193">
        <v>434</v>
      </c>
      <c r="C193">
        <f>SLOPE(A190:A193,B190:B193)</f>
        <v>0.14683283139458755</v>
      </c>
      <c r="D193">
        <f>INTERCEPT(data1!A190:A193,B190:B193)</f>
        <v>28.543998853385524</v>
      </c>
    </row>
    <row r="194" spans="1:2" ht="12.75">
      <c r="A194">
        <v>115.9</v>
      </c>
      <c r="B194">
        <v>175</v>
      </c>
    </row>
    <row r="195" spans="1:2" ht="12.75">
      <c r="A195">
        <v>100.3</v>
      </c>
      <c r="B195">
        <v>130.2</v>
      </c>
    </row>
    <row r="196" spans="1:2" ht="12.75">
      <c r="A196">
        <v>176</v>
      </c>
      <c r="B196">
        <v>270</v>
      </c>
    </row>
    <row r="197" spans="1:4" ht="12.75">
      <c r="A197">
        <v>293.4</v>
      </c>
      <c r="B197">
        <v>552</v>
      </c>
      <c r="C197">
        <f>SLOPE(A194:A197,B194:B197)</f>
        <v>0.461391934688339</v>
      </c>
      <c r="D197">
        <f>INTERCEPT(data1!A194:A197,B194:B197)</f>
        <v>41.37975280482604</v>
      </c>
    </row>
    <row r="198" spans="1:2" ht="12.75">
      <c r="A198">
        <v>8.3</v>
      </c>
      <c r="B198">
        <v>273.8</v>
      </c>
    </row>
    <row r="199" spans="1:2" ht="12.75">
      <c r="A199">
        <v>6.03</v>
      </c>
      <c r="B199">
        <v>30.4</v>
      </c>
    </row>
    <row r="200" spans="1:2" ht="12.75">
      <c r="A200">
        <v>8.3</v>
      </c>
      <c r="B200">
        <v>273.8</v>
      </c>
    </row>
    <row r="201" spans="1:4" ht="12.75">
      <c r="A201">
        <v>8.3</v>
      </c>
      <c r="B201">
        <v>273.8</v>
      </c>
      <c r="C201">
        <f>SLOPE(A198:A201,B198:B201)</f>
        <v>0.00932621199671323</v>
      </c>
      <c r="D201">
        <f>INTERCEPT(data1!A198:A201,B198:B201)</f>
        <v>5.746483155299918</v>
      </c>
    </row>
    <row r="202" spans="1:2" ht="12.75">
      <c r="A202">
        <v>4.38</v>
      </c>
      <c r="B202">
        <v>177.1</v>
      </c>
    </row>
    <row r="203" spans="1:2" ht="12.75">
      <c r="A203" s="385">
        <f>A202</f>
        <v>4.38</v>
      </c>
      <c r="B203">
        <v>177.1</v>
      </c>
    </row>
    <row r="204" spans="1:2" ht="12.75">
      <c r="A204">
        <v>4.38</v>
      </c>
      <c r="B204">
        <v>177.1</v>
      </c>
    </row>
    <row r="205" spans="1:4" ht="12.75">
      <c r="A205" s="385">
        <f>A204</f>
        <v>4.38</v>
      </c>
      <c r="B205">
        <v>177.1</v>
      </c>
      <c r="C205" t="e">
        <f>SLOPE(A202:A205,B202:B205)</f>
        <v>#DIV/0!</v>
      </c>
      <c r="D205" t="e">
        <f>INTERCEPT(data1!A202:A205,B202:B205)</f>
        <v>#DIV/0!</v>
      </c>
    </row>
    <row r="206" spans="1:2" ht="12.75">
      <c r="A206">
        <v>5.6</v>
      </c>
      <c r="B206">
        <v>201.8</v>
      </c>
    </row>
    <row r="207" spans="1:2" ht="12.75">
      <c r="A207">
        <v>5.6</v>
      </c>
      <c r="B207">
        <v>154.2</v>
      </c>
    </row>
    <row r="208" spans="1:2" ht="12.75">
      <c r="A208">
        <v>5.6</v>
      </c>
      <c r="B208">
        <v>203.5</v>
      </c>
    </row>
    <row r="209" spans="1:4" ht="12.75">
      <c r="A209">
        <v>5.6</v>
      </c>
      <c r="B209">
        <v>204.2</v>
      </c>
      <c r="C209">
        <f>SLOPE(A206:A209,B206:B209)</f>
        <v>0</v>
      </c>
      <c r="D209">
        <f>INTERCEPT(data1!A206:A209,B206:B209)</f>
        <v>5.6</v>
      </c>
    </row>
    <row r="210" spans="1:2" ht="12.75">
      <c r="A210">
        <v>6.43</v>
      </c>
      <c r="B210">
        <v>310.3</v>
      </c>
    </row>
    <row r="211" spans="1:2" ht="12.75">
      <c r="A211" s="385">
        <f>A210</f>
        <v>6.43</v>
      </c>
      <c r="B211">
        <v>310.3</v>
      </c>
    </row>
    <row r="212" spans="1:2" ht="12.75">
      <c r="A212">
        <v>6.43</v>
      </c>
      <c r="B212">
        <v>310.3</v>
      </c>
    </row>
    <row r="213" spans="1:4" ht="12.75">
      <c r="A213" s="385">
        <f>A212</f>
        <v>6.43</v>
      </c>
      <c r="B213">
        <v>310.3</v>
      </c>
      <c r="C213" t="e">
        <f>SLOPE(A210:A213,B210:B213)</f>
        <v>#DIV/0!</v>
      </c>
      <c r="D213" t="e">
        <f>INTERCEPT(data1!A210:A213,B210:B213)</f>
        <v>#DIV/0!</v>
      </c>
    </row>
    <row r="214" spans="1:2" ht="12.75">
      <c r="A214">
        <v>7.67</v>
      </c>
      <c r="B214">
        <v>261.4</v>
      </c>
    </row>
    <row r="215" spans="1:2" ht="12.75">
      <c r="A215">
        <v>4.75</v>
      </c>
      <c r="B215">
        <v>43.4</v>
      </c>
    </row>
    <row r="216" spans="1:2" ht="12.75">
      <c r="A216">
        <v>9.42</v>
      </c>
      <c r="B216">
        <v>399.7</v>
      </c>
    </row>
    <row r="217" spans="1:151" ht="12.75">
      <c r="A217">
        <v>9.42</v>
      </c>
      <c r="B217">
        <v>399.7</v>
      </c>
      <c r="C217">
        <f>SLOPE(A214:A217,B214:B217)</f>
        <v>0.013096117501688955</v>
      </c>
      <c r="D217">
        <f>INTERCEPT(data1!A214:A217,B214:B217)</f>
        <v>4.199816763658763</v>
      </c>
      <c r="EU217" t="b">
        <f>A217='Master Data'!AA56</f>
        <v>1</v>
      </c>
    </row>
    <row r="218" spans="1:2" ht="12.75">
      <c r="A218">
        <v>61.9</v>
      </c>
      <c r="B218">
        <v>175</v>
      </c>
    </row>
    <row r="219" spans="1:2" ht="12.75">
      <c r="A219">
        <v>61.9</v>
      </c>
      <c r="B219">
        <v>175</v>
      </c>
    </row>
    <row r="220" spans="1:2" ht="12.75">
      <c r="A220">
        <v>92.6</v>
      </c>
      <c r="B220">
        <v>394</v>
      </c>
    </row>
    <row r="221" spans="1:31" ht="12.75">
      <c r="A221">
        <v>118.6</v>
      </c>
      <c r="B221">
        <v>550</v>
      </c>
      <c r="C221">
        <f>SLOPE(A218:A221,B218:B221)</f>
        <v>0.14950536477479898</v>
      </c>
      <c r="D221">
        <f>INTERCEPT(data1!A218:A221,B218:B221)</f>
        <v>35.38501449535253</v>
      </c>
      <c r="AE221" t="s">
        <v>254</v>
      </c>
    </row>
    <row r="222" spans="1:2" ht="12.75">
      <c r="A222">
        <v>88.1</v>
      </c>
      <c r="B222">
        <v>175</v>
      </c>
    </row>
    <row r="223" spans="1:2" ht="12.75">
      <c r="A223">
        <v>81.5</v>
      </c>
      <c r="B223">
        <v>159</v>
      </c>
    </row>
    <row r="224" spans="1:2" ht="12.75">
      <c r="A224">
        <v>188.4</v>
      </c>
      <c r="B224">
        <v>562</v>
      </c>
    </row>
    <row r="225" spans="1:4" ht="12.75">
      <c r="A225">
        <v>226.9</v>
      </c>
      <c r="B225">
        <v>672</v>
      </c>
      <c r="C225">
        <f>SLOPE(A222:A225,B222:B225)</f>
        <v>0.2753179539769406</v>
      </c>
      <c r="D225">
        <f>INTERCEPT(data1!A222:A225,B222:B225)</f>
        <v>38.30036204103928</v>
      </c>
    </row>
    <row r="226" spans="1:2" ht="12.75">
      <c r="A226">
        <v>94.4</v>
      </c>
      <c r="B226">
        <v>175</v>
      </c>
    </row>
    <row r="227" spans="1:2" ht="12.75">
      <c r="A227">
        <v>92.3</v>
      </c>
      <c r="B227">
        <v>163</v>
      </c>
    </row>
    <row r="228" spans="1:2" ht="12.75">
      <c r="A228">
        <v>208.6</v>
      </c>
      <c r="B228">
        <v>550</v>
      </c>
    </row>
    <row r="229" spans="1:4" ht="12.75">
      <c r="A229">
        <v>251</v>
      </c>
      <c r="B229">
        <v>687</v>
      </c>
      <c r="C229">
        <f>SLOPE(A226:A229,B226:B229)</f>
        <v>0.3037788392096233</v>
      </c>
      <c r="D229">
        <f>INTERCEPT(data1!A226:A229,B226:B229)</f>
        <v>41.96208206121082</v>
      </c>
    </row>
    <row r="230" spans="1:2" ht="12.75">
      <c r="A230">
        <v>160.6</v>
      </c>
      <c r="B230">
        <v>175</v>
      </c>
    </row>
    <row r="231" spans="1:2" ht="12.75">
      <c r="A231">
        <v>119.4</v>
      </c>
      <c r="B231">
        <v>106</v>
      </c>
    </row>
    <row r="232" spans="1:2" ht="12.75">
      <c r="A232">
        <v>300</v>
      </c>
      <c r="B232">
        <v>392</v>
      </c>
    </row>
    <row r="233" spans="1:4" ht="12.75">
      <c r="A233">
        <v>344</v>
      </c>
      <c r="B233">
        <v>458</v>
      </c>
      <c r="C233">
        <f>SLOPE(A230:A233,B230:B233)</f>
        <v>0.6392187020278074</v>
      </c>
      <c r="D233">
        <f>INTERCEPT(data1!A230:A233,B230:B233)</f>
        <v>50.26091200163745</v>
      </c>
    </row>
    <row r="234" spans="1:2" ht="12.75">
      <c r="A234">
        <v>286.3</v>
      </c>
      <c r="B234">
        <v>229</v>
      </c>
    </row>
    <row r="235" spans="1:2" ht="12.75">
      <c r="A235">
        <v>286.3</v>
      </c>
      <c r="B235">
        <v>229</v>
      </c>
    </row>
    <row r="236" spans="1:2" ht="12.75">
      <c r="A236">
        <v>420.3</v>
      </c>
      <c r="B236">
        <v>375</v>
      </c>
    </row>
    <row r="237" spans="1:4" ht="12.75">
      <c r="A237">
        <v>499.5</v>
      </c>
      <c r="B237">
        <v>456</v>
      </c>
      <c r="C237">
        <f>SLOPE(A234:A237,B234:B237)</f>
        <v>0.9348772750261082</v>
      </c>
      <c r="D237">
        <f>INTERCEPT(data1!A234:A237,B234:B237)</f>
        <v>71.83579812283665</v>
      </c>
    </row>
    <row r="238" spans="1:2" ht="12.75">
      <c r="A238">
        <v>279.8</v>
      </c>
      <c r="B238">
        <v>236</v>
      </c>
    </row>
    <row r="239" spans="1:2" ht="12.75">
      <c r="A239">
        <v>279.8</v>
      </c>
      <c r="B239">
        <v>236</v>
      </c>
    </row>
    <row r="240" spans="1:2" ht="12.75">
      <c r="A240">
        <v>473</v>
      </c>
      <c r="B240">
        <v>459</v>
      </c>
    </row>
    <row r="241" spans="1:4" ht="12.75">
      <c r="A241">
        <v>571</v>
      </c>
      <c r="B241">
        <v>548</v>
      </c>
      <c r="C241">
        <f>SLOPE(A238:A241,B238:B241)</f>
        <v>0.9156842687218398</v>
      </c>
      <c r="D241">
        <f>INTERCEPT(data1!A238:A241,B238:B241)</f>
        <v>62.32574164009969</v>
      </c>
    </row>
    <row r="242" spans="1:2" ht="12.75">
      <c r="A242">
        <v>110.9</v>
      </c>
      <c r="B242">
        <v>175</v>
      </c>
    </row>
    <row r="243" spans="1:2" ht="12.75">
      <c r="A243">
        <v>104</v>
      </c>
      <c r="B243">
        <v>153</v>
      </c>
    </row>
    <row r="244" spans="1:2" ht="12.75">
      <c r="A244">
        <v>174.4</v>
      </c>
      <c r="B244">
        <v>345</v>
      </c>
    </row>
    <row r="245" spans="1:4" ht="12.75">
      <c r="A245">
        <v>205.9</v>
      </c>
      <c r="B245">
        <v>418</v>
      </c>
      <c r="C245">
        <f>SLOPE(A242:A245,B242:B245)</f>
        <v>0.3826299097340815</v>
      </c>
      <c r="D245">
        <f>INTERCEPT(data1!A242:A245,B242:B245)</f>
        <v>44.43769212002928</v>
      </c>
    </row>
    <row r="246" spans="1:2" ht="12.75">
      <c r="A246">
        <v>117</v>
      </c>
      <c r="B246">
        <v>175</v>
      </c>
    </row>
    <row r="247" spans="1:2" ht="12.75">
      <c r="A247">
        <v>117</v>
      </c>
      <c r="B247">
        <v>175</v>
      </c>
    </row>
    <row r="248" spans="1:2" ht="12.75">
      <c r="A248">
        <v>199.5</v>
      </c>
      <c r="B248">
        <v>390</v>
      </c>
    </row>
    <row r="249" spans="1:4" ht="12.75">
      <c r="A249">
        <v>232.4</v>
      </c>
      <c r="B249">
        <v>469</v>
      </c>
      <c r="C249">
        <f>SLOPE(A246:A249,B246:B249)</f>
        <v>0.3900726534910868</v>
      </c>
      <c r="D249">
        <f>INTERCEPT(data1!A246:A249,B246:B249)</f>
        <v>48.57554048231901</v>
      </c>
    </row>
    <row r="250" spans="1:2" ht="12.75">
      <c r="A250">
        <v>292</v>
      </c>
      <c r="B250">
        <v>81</v>
      </c>
    </row>
    <row r="251" spans="1:2" ht="12.75">
      <c r="A251" s="385">
        <v>292</v>
      </c>
      <c r="B251" s="385">
        <v>81</v>
      </c>
    </row>
    <row r="252" spans="1:2" ht="12.75">
      <c r="A252">
        <v>292</v>
      </c>
      <c r="B252">
        <v>81</v>
      </c>
    </row>
    <row r="253" spans="1:152" ht="12.75">
      <c r="A253">
        <v>292</v>
      </c>
      <c r="B253">
        <v>81</v>
      </c>
      <c r="C253" t="e">
        <f>SLOPE(A250:A253,B250:B253)</f>
        <v>#DIV/0!</v>
      </c>
      <c r="D253" t="e">
        <f>INTERCEPT(data1!A250:A253,B250:B253)</f>
        <v>#DIV/0!</v>
      </c>
      <c r="EU253" t="b">
        <f>A253='Master Data'!AA65</f>
        <v>1</v>
      </c>
      <c r="EV253">
        <f>252/4</f>
        <v>63</v>
      </c>
    </row>
    <row r="254" spans="1:2" ht="12.75">
      <c r="A254">
        <v>322</v>
      </c>
      <c r="B254">
        <v>64</v>
      </c>
    </row>
    <row r="255" spans="1:2" ht="12.75">
      <c r="A255" s="385">
        <v>322</v>
      </c>
      <c r="B255" s="385">
        <v>64</v>
      </c>
    </row>
    <row r="256" spans="1:2" ht="12.75">
      <c r="A256">
        <v>322</v>
      </c>
      <c r="B256">
        <v>64</v>
      </c>
    </row>
    <row r="257" spans="1:4" ht="12.75">
      <c r="A257">
        <v>322</v>
      </c>
      <c r="B257">
        <v>64</v>
      </c>
      <c r="C257" t="e">
        <f>SLOPE(A254:A257,B254:B257)</f>
        <v>#DIV/0!</v>
      </c>
      <c r="D257" t="e">
        <f>INTERCEPT(data1!A254:A257,B254:B257)</f>
        <v>#DIV/0!</v>
      </c>
    </row>
    <row r="258" spans="1:2" ht="12.75">
      <c r="A258">
        <v>465</v>
      </c>
      <c r="B258">
        <v>64</v>
      </c>
    </row>
    <row r="259" spans="1:2" ht="12.75">
      <c r="A259" s="385">
        <v>465</v>
      </c>
      <c r="B259" s="385">
        <v>64</v>
      </c>
    </row>
    <row r="260" spans="1:2" ht="12.75">
      <c r="A260">
        <v>465</v>
      </c>
      <c r="B260">
        <v>64</v>
      </c>
    </row>
    <row r="261" spans="1:4" ht="12.75">
      <c r="A261">
        <v>465</v>
      </c>
      <c r="B261">
        <v>64</v>
      </c>
      <c r="C261" t="e">
        <f>SLOPE(A258:A261,B258:B261)</f>
        <v>#DIV/0!</v>
      </c>
      <c r="D261" t="e">
        <f>INTERCEPT(data1!A258:A261,B258:B261)</f>
        <v>#DIV/0!</v>
      </c>
    </row>
    <row r="262" spans="1:2" ht="12.75">
      <c r="A262">
        <v>27.81</v>
      </c>
      <c r="B262">
        <v>175.2</v>
      </c>
    </row>
    <row r="263" spans="1:2" ht="12.75">
      <c r="A263">
        <v>15.61</v>
      </c>
      <c r="B263">
        <v>78.1</v>
      </c>
    </row>
    <row r="264" spans="1:2" ht="12.75">
      <c r="A264">
        <v>28.29</v>
      </c>
      <c r="B264">
        <v>226.7</v>
      </c>
    </row>
    <row r="265" spans="1:4" ht="12.75">
      <c r="A265" t="s">
        <v>138</v>
      </c>
      <c r="B265" t="s">
        <v>138</v>
      </c>
      <c r="C265">
        <f>SLOPE(A262:A265,B262:B265)</f>
        <v>0.09055476424232099</v>
      </c>
      <c r="D265">
        <f>INTERCEPT(data1!A262:A265,B262:B265)</f>
        <v>9.414571054561977</v>
      </c>
    </row>
    <row r="266" spans="1:2" ht="12.75">
      <c r="A266">
        <v>28.97</v>
      </c>
      <c r="B266">
        <v>175.2</v>
      </c>
    </row>
    <row r="267" spans="1:2" ht="12.75">
      <c r="A267">
        <v>17.63</v>
      </c>
      <c r="B267">
        <v>55.8</v>
      </c>
    </row>
    <row r="268" spans="1:2" ht="12.75">
      <c r="A268">
        <v>32.08</v>
      </c>
      <c r="B268">
        <v>208.9</v>
      </c>
    </row>
    <row r="269" spans="1:4" ht="12.75">
      <c r="A269">
        <v>38.78</v>
      </c>
      <c r="B269">
        <v>273.9</v>
      </c>
      <c r="C269">
        <f>SLOPE(A266:A269,B266:B269)</f>
        <v>0.09652336310039779</v>
      </c>
      <c r="D269">
        <f>INTERCEPT(data1!A266:A269,B266:B269)</f>
        <v>12.140405854734013</v>
      </c>
    </row>
    <row r="270" spans="1:2" ht="12.75">
      <c r="A270">
        <v>29.07</v>
      </c>
      <c r="B270">
        <v>174.2</v>
      </c>
    </row>
    <row r="271" spans="1:2" ht="12.75">
      <c r="A271">
        <v>18.18</v>
      </c>
      <c r="B271">
        <v>78.7</v>
      </c>
    </row>
    <row r="272" spans="1:2" ht="12.75">
      <c r="A272">
        <v>41.42</v>
      </c>
      <c r="B272">
        <v>280.2</v>
      </c>
    </row>
    <row r="273" spans="1:4" ht="12.75">
      <c r="A273">
        <v>41.69</v>
      </c>
      <c r="B273">
        <v>282.8</v>
      </c>
      <c r="C273">
        <f>SLOPE(A270:A273,B270:B273)</f>
        <v>0.11538225893696888</v>
      </c>
      <c r="D273">
        <f>INTERCEPT(data1!A270:A273,B270:B273)</f>
        <v>9.05490373333178</v>
      </c>
    </row>
    <row r="274" spans="1:2" ht="12.75">
      <c r="A274">
        <v>44.25</v>
      </c>
      <c r="B274">
        <v>238.9</v>
      </c>
    </row>
    <row r="275" spans="1:2" ht="12.75">
      <c r="A275">
        <v>44.25</v>
      </c>
      <c r="B275">
        <v>238.9</v>
      </c>
    </row>
    <row r="276" spans="1:2" ht="12.75">
      <c r="A276">
        <v>63.45</v>
      </c>
      <c r="B276">
        <v>411.8</v>
      </c>
    </row>
    <row r="277" spans="1:4" ht="12.75">
      <c r="A277">
        <v>79.42</v>
      </c>
      <c r="B277">
        <v>564.4</v>
      </c>
      <c r="C277">
        <f>SLOPE(A274:A277,B274:B277)</f>
        <v>0.10838862595231454</v>
      </c>
      <c r="D277">
        <f>INTERCEPT(data1!A274:A277,B274:B277)</f>
        <v>18.44323446633367</v>
      </c>
    </row>
    <row r="278" spans="1:2" ht="12.75">
      <c r="A278">
        <v>23.94</v>
      </c>
      <c r="B278">
        <v>175.8</v>
      </c>
    </row>
    <row r="279" spans="1:2" ht="12.75">
      <c r="A279">
        <v>15.61</v>
      </c>
      <c r="B279">
        <v>78.1</v>
      </c>
    </row>
    <row r="280" spans="1:2" ht="12.75">
      <c r="A280">
        <v>28.29</v>
      </c>
      <c r="B280">
        <v>226.7</v>
      </c>
    </row>
    <row r="281" spans="1:4" ht="12.75">
      <c r="A281" t="s">
        <v>138</v>
      </c>
      <c r="B281" t="s">
        <v>138</v>
      </c>
      <c r="C281">
        <f>SLOPE(A278:A281,B278:B281)</f>
        <v>0.08532055879263757</v>
      </c>
      <c r="D281">
        <f>INTERCEPT(data1!A278:A281,B278:B281)</f>
        <v>8.944979814752793</v>
      </c>
    </row>
    <row r="282" spans="1:2" ht="12.75">
      <c r="A282">
        <v>15.48</v>
      </c>
      <c r="B282">
        <v>174.9</v>
      </c>
    </row>
    <row r="283" spans="1:2" ht="12.75">
      <c r="A283">
        <v>9.81</v>
      </c>
      <c r="B283">
        <v>48.9</v>
      </c>
    </row>
    <row r="284" spans="1:2" ht="12.75">
      <c r="A284">
        <v>16.51</v>
      </c>
      <c r="B284">
        <v>178.1</v>
      </c>
    </row>
    <row r="285" spans="1:4" ht="12.75">
      <c r="A285">
        <v>16.58</v>
      </c>
      <c r="B285">
        <v>179.8</v>
      </c>
      <c r="C285">
        <f>SLOPE(A282:A285,B282:B285)</f>
        <v>0.04975932131082482</v>
      </c>
      <c r="D285">
        <f>INTERCEPT(data1!A282:A285,B282:B285)</f>
        <v>7.358750698373299</v>
      </c>
    </row>
    <row r="286" spans="1:2" ht="12.75">
      <c r="A286">
        <v>25.09</v>
      </c>
      <c r="B286">
        <v>175.2</v>
      </c>
    </row>
    <row r="287" spans="1:2" ht="12.75">
      <c r="A287">
        <v>18.58</v>
      </c>
      <c r="B287">
        <v>92.3</v>
      </c>
    </row>
    <row r="288" spans="1:2" ht="12.75">
      <c r="A288">
        <v>30.71</v>
      </c>
      <c r="B288">
        <v>255.7</v>
      </c>
    </row>
    <row r="289" spans="1:4" ht="12.75">
      <c r="A289" t="s">
        <v>138</v>
      </c>
      <c r="B289" t="s">
        <v>138</v>
      </c>
      <c r="C289">
        <f>SLOPE(A286:A289,B286:B289)</f>
        <v>0.07425633335680272</v>
      </c>
      <c r="D289">
        <f>INTERCEPT(data1!A286:A289,B286:B289)</f>
        <v>11.843028795906939</v>
      </c>
    </row>
    <row r="290" spans="1:2" ht="12.75">
      <c r="A290">
        <v>31.66</v>
      </c>
      <c r="B290">
        <v>174.8</v>
      </c>
    </row>
    <row r="291" spans="1:2" ht="12.75">
      <c r="A291">
        <v>19.44</v>
      </c>
      <c r="B291">
        <v>68.98</v>
      </c>
    </row>
    <row r="292" spans="1:2" ht="12.75">
      <c r="A292">
        <v>37.08</v>
      </c>
      <c r="B292">
        <v>226.4</v>
      </c>
    </row>
    <row r="293" spans="1:151" ht="12.75">
      <c r="A293">
        <v>43.65</v>
      </c>
      <c r="B293">
        <v>284.8</v>
      </c>
      <c r="C293">
        <f>SLOPE(A290:A293,B290:B293)</f>
        <v>0.11195508229948935</v>
      </c>
      <c r="D293">
        <f>INTERCEPT(data1!A290:A293,B290:B293)</f>
        <v>11.826537991382885</v>
      </c>
      <c r="EU293" t="b">
        <f>A293='Master Data'!AA75</f>
        <v>1</v>
      </c>
    </row>
    <row r="294" spans="1:2" ht="12.75">
      <c r="A294">
        <v>132</v>
      </c>
      <c r="B294">
        <v>178</v>
      </c>
    </row>
    <row r="295" spans="1:2" ht="12.75">
      <c r="A295">
        <v>107</v>
      </c>
      <c r="B295">
        <v>110</v>
      </c>
    </row>
    <row r="296" spans="1:2" ht="12.75">
      <c r="A296">
        <v>276</v>
      </c>
      <c r="B296">
        <v>498</v>
      </c>
    </row>
    <row r="297" spans="1:4" ht="12.75">
      <c r="A297">
        <v>276</v>
      </c>
      <c r="B297">
        <v>498</v>
      </c>
      <c r="C297">
        <f>SLOPE(A294:A297,B294:B297)</f>
        <v>0.44074184348262135</v>
      </c>
      <c r="D297">
        <f>INTERCEPT(data1!A294:A297,B294:B297)</f>
        <v>56.27186824207854</v>
      </c>
    </row>
    <row r="299" spans="1:2" ht="12.75">
      <c r="A299">
        <v>68</v>
      </c>
      <c r="B299">
        <v>1</v>
      </c>
    </row>
    <row r="300" spans="1:2" ht="12.75">
      <c r="A300">
        <v>667</v>
      </c>
      <c r="B300">
        <v>161</v>
      </c>
    </row>
    <row r="301" spans="1:4" ht="12.75">
      <c r="A301">
        <v>667</v>
      </c>
      <c r="B301">
        <v>161</v>
      </c>
      <c r="C301">
        <f>SLOPE(A298:A301,B298:B301)</f>
        <v>3.74375</v>
      </c>
      <c r="D301">
        <f>INTERCEPT(data1!A298:A301,B298:B301)</f>
        <v>64.25624999999997</v>
      </c>
    </row>
    <row r="302" spans="1:2" ht="12.75">
      <c r="A302">
        <v>10.9</v>
      </c>
      <c r="B302">
        <v>175</v>
      </c>
    </row>
    <row r="303" spans="1:2" ht="12.75">
      <c r="A303">
        <v>10.9</v>
      </c>
      <c r="B303">
        <v>11</v>
      </c>
    </row>
    <row r="304" spans="1:2" ht="12.75">
      <c r="A304">
        <v>10.9</v>
      </c>
      <c r="B304">
        <v>176</v>
      </c>
    </row>
    <row r="305" spans="1:4" ht="12.75">
      <c r="A305">
        <v>10.9</v>
      </c>
      <c r="B305">
        <v>176</v>
      </c>
      <c r="C305">
        <f>SLOPE(A302:A305,B302:B305)</f>
        <v>0</v>
      </c>
      <c r="D305">
        <f>INTERCEPT(data1!A302:A305,B302:B305)</f>
        <v>10.9</v>
      </c>
    </row>
    <row r="306" spans="1:2" ht="12.75">
      <c r="A306">
        <v>74</v>
      </c>
      <c r="B306">
        <v>175</v>
      </c>
    </row>
    <row r="307" spans="1:2" ht="12.75">
      <c r="A307">
        <v>59</v>
      </c>
      <c r="B307">
        <v>126</v>
      </c>
    </row>
    <row r="308" spans="1:2" ht="12.75">
      <c r="A308">
        <v>129</v>
      </c>
      <c r="B308">
        <v>388</v>
      </c>
    </row>
    <row r="309" spans="1:4" ht="12.75">
      <c r="A309">
        <v>129</v>
      </c>
      <c r="B309">
        <v>388</v>
      </c>
      <c r="C309">
        <f>SLOPE(A306:A309,B306:B309)</f>
        <v>0.2640532576477583</v>
      </c>
      <c r="D309">
        <f>INTERCEPT(data1!A306:A309,B306:B309)</f>
        <v>26.653660378341087</v>
      </c>
    </row>
    <row r="310" spans="1:2" ht="12.75">
      <c r="A310">
        <v>182</v>
      </c>
      <c r="B310">
        <v>179</v>
      </c>
    </row>
    <row r="311" spans="1:2" ht="12.75">
      <c r="A311">
        <v>151</v>
      </c>
      <c r="B311">
        <v>134</v>
      </c>
    </row>
    <row r="312" spans="1:2" ht="12.75">
      <c r="A312">
        <v>389</v>
      </c>
      <c r="B312">
        <v>405</v>
      </c>
    </row>
    <row r="313" spans="1:4" ht="12.75">
      <c r="A313">
        <v>389</v>
      </c>
      <c r="B313">
        <v>405</v>
      </c>
      <c r="C313">
        <f>SLOPE(A310:A313,B310:B313)</f>
        <v>0.8920413129981399</v>
      </c>
      <c r="D313">
        <f>INTERCEPT(data1!A310:A313,B310:B313)</f>
        <v>27.30940137577221</v>
      </c>
    </row>
    <row r="315" spans="1:2" ht="12.75">
      <c r="A315">
        <v>355</v>
      </c>
      <c r="B315">
        <v>194</v>
      </c>
    </row>
    <row r="316" spans="1:2" ht="12.75">
      <c r="A316">
        <v>944</v>
      </c>
      <c r="B316">
        <v>598</v>
      </c>
    </row>
    <row r="317" spans="1:4" ht="12.75">
      <c r="A317">
        <v>944</v>
      </c>
      <c r="B317">
        <v>598</v>
      </c>
      <c r="C317">
        <f>SLOPE(A314:A317,B314:B317)</f>
        <v>1.4579207920792077</v>
      </c>
      <c r="D317">
        <f>INTERCEPT(data1!A314:A317,B314:B317)</f>
        <v>72.16336633663377</v>
      </c>
    </row>
    <row r="318" spans="1:2" ht="12.75">
      <c r="A318">
        <v>8.46</v>
      </c>
      <c r="B318">
        <v>198.8</v>
      </c>
    </row>
    <row r="320" spans="1:2" ht="12.75">
      <c r="A320">
        <v>8.02</v>
      </c>
      <c r="B320">
        <v>156.2</v>
      </c>
    </row>
    <row r="321" spans="1:4" ht="12.75">
      <c r="A321">
        <v>8.56</v>
      </c>
      <c r="B321">
        <v>207.4</v>
      </c>
      <c r="C321">
        <f>SLOPE(A318:A321,B318:B321)</f>
        <v>0.010476790180392732</v>
      </c>
      <c r="D321">
        <f>INTERCEPT(data1!A318:A321,B318:B321)</f>
        <v>6.382617734182375</v>
      </c>
    </row>
    <row r="322" spans="1:2" ht="12.75">
      <c r="A322">
        <v>7.5</v>
      </c>
      <c r="B322">
        <v>175</v>
      </c>
    </row>
    <row r="323" spans="1:2" ht="12.75">
      <c r="A323">
        <v>7.5</v>
      </c>
      <c r="B323">
        <v>12</v>
      </c>
    </row>
    <row r="324" spans="1:2" ht="12.75">
      <c r="A324">
        <v>7.5</v>
      </c>
      <c r="B324">
        <v>180</v>
      </c>
    </row>
    <row r="325" spans="1:4" ht="12.75">
      <c r="A325">
        <v>7.5</v>
      </c>
      <c r="B325">
        <v>180</v>
      </c>
      <c r="C325">
        <f>SLOPE(A322:A325,B322:B325)</f>
        <v>0</v>
      </c>
      <c r="D325">
        <f>INTERCEPT(data1!A322:A325,B322:B325)</f>
        <v>7.5</v>
      </c>
    </row>
    <row r="326" spans="1:2" ht="12.75">
      <c r="A326">
        <v>8.6</v>
      </c>
      <c r="B326">
        <v>175</v>
      </c>
    </row>
    <row r="327" spans="1:2" ht="12.75">
      <c r="A327">
        <v>8.6</v>
      </c>
      <c r="B327">
        <v>12</v>
      </c>
    </row>
    <row r="328" spans="1:2" ht="12.75">
      <c r="A328">
        <v>8.6</v>
      </c>
      <c r="B328">
        <v>180</v>
      </c>
    </row>
    <row r="329" spans="1:4" ht="12.75">
      <c r="A329">
        <v>8.6</v>
      </c>
      <c r="B329">
        <v>180</v>
      </c>
      <c r="C329">
        <f>SLOPE(A326:A329,B326:B329)</f>
        <v>0</v>
      </c>
      <c r="D329">
        <f>INTERCEPT(data1!A326:A329,B326:B329)</f>
        <v>8.6</v>
      </c>
    </row>
    <row r="330" spans="1:2" ht="12.75">
      <c r="A330">
        <v>32.1</v>
      </c>
      <c r="B330">
        <v>177</v>
      </c>
    </row>
    <row r="331" spans="1:2" ht="12.75">
      <c r="A331">
        <v>19.9</v>
      </c>
      <c r="B331">
        <v>21</v>
      </c>
    </row>
    <row r="332" spans="1:2" ht="12.75">
      <c r="A332">
        <v>44.5</v>
      </c>
      <c r="B332">
        <v>301</v>
      </c>
    </row>
    <row r="333" spans="1:4" ht="12.75">
      <c r="A333">
        <v>44.5</v>
      </c>
      <c r="B333">
        <v>301</v>
      </c>
      <c r="C333">
        <f>SLOPE(A330:A333,B330:B333)</f>
        <v>0.08851091142490373</v>
      </c>
      <c r="D333">
        <f>INTERCEPT(data1!A330:A333,B330:B333)</f>
        <v>17.547817715019253</v>
      </c>
    </row>
    <row r="334" spans="1:2" ht="12.75">
      <c r="A334">
        <v>20.3</v>
      </c>
      <c r="B334">
        <v>178</v>
      </c>
    </row>
    <row r="335" spans="1:2" ht="12.75">
      <c r="A335">
        <v>14.8</v>
      </c>
      <c r="B335">
        <v>14</v>
      </c>
    </row>
    <row r="336" spans="1:2" ht="12.75">
      <c r="A336">
        <v>27.6</v>
      </c>
      <c r="B336">
        <v>254</v>
      </c>
    </row>
    <row r="337" spans="1:151" ht="12.75">
      <c r="A337">
        <v>27.6</v>
      </c>
      <c r="B337">
        <v>254</v>
      </c>
      <c r="C337">
        <f>SLOPE(A334:A337,B334:B337)</f>
        <v>0.05307976673956056</v>
      </c>
      <c r="D337">
        <f>INTERCEPT(data1!A334:A337,B334:B337)</f>
        <v>13.286040820576906</v>
      </c>
      <c r="EU337" t="b">
        <f>A337='Master Data'!AA86</f>
        <v>1</v>
      </c>
    </row>
    <row r="338" spans="1:2" ht="12.75">
      <c r="A338">
        <v>48.8</v>
      </c>
      <c r="B338">
        <v>177</v>
      </c>
    </row>
    <row r="339" spans="1:2" ht="12.75">
      <c r="A339">
        <v>37.6</v>
      </c>
      <c r="B339">
        <v>43</v>
      </c>
    </row>
    <row r="340" spans="1:2" ht="12.75">
      <c r="A340">
        <v>87.8</v>
      </c>
      <c r="B340">
        <v>468</v>
      </c>
    </row>
    <row r="341" spans="1:4" ht="12.75">
      <c r="A341">
        <v>87.8</v>
      </c>
      <c r="B341">
        <v>468</v>
      </c>
      <c r="C341">
        <f>SLOPE(A338:A341,B338:B341)</f>
        <v>0.12189701185632408</v>
      </c>
      <c r="D341">
        <f>INTERCEPT(data1!A338:A341,B338:B341)</f>
        <v>30.271763573522342</v>
      </c>
    </row>
    <row r="342" spans="1:2" ht="12.75">
      <c r="A342">
        <v>34.2</v>
      </c>
      <c r="B342">
        <v>178</v>
      </c>
    </row>
    <row r="343" spans="1:2" ht="12.75">
      <c r="A343">
        <v>26.4</v>
      </c>
      <c r="B343">
        <v>62</v>
      </c>
    </row>
    <row r="344" spans="1:2" ht="12.75">
      <c r="A344">
        <v>42.4</v>
      </c>
      <c r="B344">
        <v>270</v>
      </c>
    </row>
    <row r="345" spans="1:4" ht="12.75">
      <c r="A345">
        <v>42.4</v>
      </c>
      <c r="B345">
        <v>270</v>
      </c>
      <c r="C345">
        <f>SLOPE(A342:A345,B342:B345)</f>
        <v>0.0775762967017928</v>
      </c>
      <c r="D345">
        <f>INTERCEPT(data1!A342:A345,B342:B345)</f>
        <v>21.222622143150407</v>
      </c>
    </row>
    <row r="346" spans="1:2" ht="12.75">
      <c r="A346">
        <v>25.7</v>
      </c>
      <c r="B346">
        <v>178</v>
      </c>
    </row>
    <row r="347" spans="1:2" ht="12.75">
      <c r="A347">
        <v>17.4</v>
      </c>
      <c r="B347">
        <v>15</v>
      </c>
    </row>
    <row r="348" spans="1:2" ht="12.75">
      <c r="A348">
        <v>38.3</v>
      </c>
      <c r="B348">
        <v>335</v>
      </c>
    </row>
    <row r="349" spans="1:4" ht="12.75">
      <c r="A349">
        <v>38.3</v>
      </c>
      <c r="B349">
        <v>335</v>
      </c>
      <c r="C349">
        <f>SLOPE(A346:A349,B346:B349)</f>
        <v>0.06657462402063655</v>
      </c>
      <c r="D349">
        <f>INTERCEPT(data1!A346:A349,B346:B349)</f>
        <v>15.561524867547663</v>
      </c>
    </row>
    <row r="350" spans="1:2" ht="12.75">
      <c r="A350">
        <v>29.6</v>
      </c>
      <c r="B350">
        <v>176</v>
      </c>
    </row>
    <row r="351" spans="1:2" ht="12.75">
      <c r="A351">
        <v>18.5</v>
      </c>
      <c r="B351">
        <v>6</v>
      </c>
    </row>
    <row r="352" spans="1:2" ht="12.75">
      <c r="A352">
        <v>39.1</v>
      </c>
      <c r="B352">
        <v>291</v>
      </c>
    </row>
    <row r="353" spans="1:4" ht="12.75">
      <c r="A353">
        <v>39.1</v>
      </c>
      <c r="B353">
        <v>291</v>
      </c>
      <c r="C353">
        <f>SLOPE(A350:A353,B350:B353)</f>
        <v>0.07260789715335171</v>
      </c>
      <c r="D353">
        <f>INTERCEPT(data1!A350:A353,B350:B353)</f>
        <v>17.706891643709824</v>
      </c>
    </row>
    <row r="354" spans="1:2" ht="12.75">
      <c r="A354">
        <v>29.5</v>
      </c>
      <c r="B354">
        <v>178</v>
      </c>
    </row>
    <row r="355" spans="1:2" ht="12.75">
      <c r="A355">
        <v>22.7</v>
      </c>
      <c r="B355">
        <v>9</v>
      </c>
    </row>
    <row r="356" spans="1:2" ht="12.75">
      <c r="A356">
        <v>39.4</v>
      </c>
      <c r="B356">
        <v>307</v>
      </c>
    </row>
    <row r="357" spans="1:4" ht="12.75">
      <c r="A357">
        <v>39.4</v>
      </c>
      <c r="B357">
        <v>307</v>
      </c>
      <c r="C357">
        <f>SLOPE(A354:A357,B354:B357)</f>
        <v>0.05703296290263978</v>
      </c>
      <c r="D357">
        <f>INTERCEPT(data1!A354:A357,B354:B357)</f>
        <v>21.329149178746384</v>
      </c>
    </row>
    <row r="358" spans="1:2" ht="12.75">
      <c r="A358">
        <v>31.2</v>
      </c>
      <c r="B358">
        <v>177</v>
      </c>
    </row>
    <row r="359" spans="1:2" ht="12.75">
      <c r="A359">
        <v>18.8</v>
      </c>
      <c r="B359">
        <v>26</v>
      </c>
    </row>
    <row r="360" spans="1:2" ht="12.75">
      <c r="A360">
        <v>38.8</v>
      </c>
      <c r="B360">
        <v>248</v>
      </c>
    </row>
    <row r="361" spans="1:4" ht="12.75">
      <c r="A361">
        <v>38.8</v>
      </c>
      <c r="B361">
        <v>248</v>
      </c>
      <c r="C361">
        <f>SLOPE(A358:A361,B358:B361)</f>
        <v>0.09000768347140757</v>
      </c>
      <c r="D361">
        <f>INTERCEPT(data1!A358:A361,B358:B361)</f>
        <v>16.171157313371523</v>
      </c>
    </row>
    <row r="362" spans="1:2" ht="12.75">
      <c r="A362">
        <v>22.7</v>
      </c>
      <c r="B362">
        <v>177</v>
      </c>
    </row>
    <row r="363" spans="1:2" ht="12.75">
      <c r="A363">
        <v>13.7</v>
      </c>
      <c r="B363">
        <v>13</v>
      </c>
    </row>
    <row r="364" spans="1:2" ht="12.75">
      <c r="A364">
        <v>32.4</v>
      </c>
      <c r="B364">
        <v>342</v>
      </c>
    </row>
    <row r="365" spans="1:4" ht="12.75">
      <c r="A365">
        <v>32.4</v>
      </c>
      <c r="B365">
        <v>342</v>
      </c>
      <c r="C365">
        <f>SLOPE(A362:A365,B362:B365)</f>
        <v>0.05701814470096835</v>
      </c>
      <c r="D365">
        <f>INTERCEPT(data1!A362:A365,B362:B365)</f>
        <v>12.841535382838412</v>
      </c>
    </row>
    <row r="366" spans="1:2" ht="12.75">
      <c r="A366">
        <v>24.2</v>
      </c>
      <c r="B366">
        <v>176</v>
      </c>
    </row>
    <row r="367" spans="1:2" ht="12.75">
      <c r="A367">
        <v>17.2</v>
      </c>
      <c r="B367">
        <v>13</v>
      </c>
    </row>
    <row r="368" spans="1:2" ht="12.75">
      <c r="A368">
        <v>32.6</v>
      </c>
      <c r="B368">
        <v>273</v>
      </c>
    </row>
    <row r="369" spans="1:4" ht="12.75">
      <c r="A369">
        <v>32.6</v>
      </c>
      <c r="B369">
        <v>273</v>
      </c>
      <c r="C369">
        <f>SLOPE(A366:A369,B366:B369)</f>
        <v>0.05968646691068572</v>
      </c>
      <c r="D369">
        <f>INTERCEPT(data1!A366:A369,B366:B369)</f>
        <v>15.682611705161497</v>
      </c>
    </row>
    <row r="370" spans="1:2" ht="12.75">
      <c r="A370">
        <v>134.7</v>
      </c>
      <c r="B370">
        <v>175</v>
      </c>
    </row>
    <row r="371" spans="1:2" ht="12.75">
      <c r="A371">
        <v>100.9</v>
      </c>
      <c r="B371">
        <v>119</v>
      </c>
    </row>
    <row r="372" spans="1:2" ht="12.75">
      <c r="A372">
        <v>253.7</v>
      </c>
      <c r="B372">
        <v>430</v>
      </c>
    </row>
    <row r="373" spans="1:4" ht="12.75">
      <c r="A373">
        <v>253.7</v>
      </c>
      <c r="B373">
        <v>430</v>
      </c>
      <c r="C373">
        <f>SLOPE(A370:A373,B370:B373)</f>
        <v>0.4825807952778084</v>
      </c>
      <c r="D373">
        <f>INTERCEPT(data1!A370:A373,B370:B373)</f>
        <v>46.52544056235229</v>
      </c>
    </row>
    <row r="374" spans="1:2" ht="12.75">
      <c r="A374">
        <v>131</v>
      </c>
      <c r="B374">
        <v>175</v>
      </c>
    </row>
    <row r="375" spans="1:2" ht="12.75">
      <c r="A375">
        <v>97.4</v>
      </c>
      <c r="B375">
        <v>119</v>
      </c>
    </row>
    <row r="376" spans="1:2" ht="12.75">
      <c r="A376">
        <v>248</v>
      </c>
      <c r="B376">
        <v>430</v>
      </c>
    </row>
    <row r="377" spans="1:4" ht="12.75">
      <c r="A377">
        <v>248</v>
      </c>
      <c r="B377">
        <v>430</v>
      </c>
      <c r="C377">
        <f>SLOPE(A374:A377,B374:B377)</f>
        <v>0.47523421139645095</v>
      </c>
      <c r="D377">
        <f>INTERCEPT(data1!A374:A377,B374:B377)</f>
        <v>43.99493001212389</v>
      </c>
    </row>
    <row r="378" spans="1:2" ht="12.75">
      <c r="A378">
        <v>132.4</v>
      </c>
      <c r="B378">
        <v>175</v>
      </c>
    </row>
    <row r="379" spans="1:2" ht="12.75">
      <c r="A379">
        <v>99.1</v>
      </c>
      <c r="B379">
        <v>119</v>
      </c>
    </row>
    <row r="380" spans="1:2" ht="12.75">
      <c r="A380">
        <v>253</v>
      </c>
      <c r="B380">
        <v>430</v>
      </c>
    </row>
    <row r="381" spans="1:4" ht="12.75">
      <c r="A381">
        <v>253</v>
      </c>
      <c r="B381">
        <v>430</v>
      </c>
      <c r="C381">
        <f>SLOPE(A378:A381,B378:B381)</f>
        <v>0.4870880634850656</v>
      </c>
      <c r="D381">
        <f>INTERCEPT(data1!A378:A381,B378:B381)</f>
        <v>43.85009368455857</v>
      </c>
    </row>
    <row r="382" spans="1:2" ht="12.75">
      <c r="A382">
        <v>166.6</v>
      </c>
      <c r="B382">
        <v>175</v>
      </c>
    </row>
    <row r="383" spans="1:2" ht="12.75">
      <c r="A383">
        <v>145.3</v>
      </c>
      <c r="B383">
        <v>148</v>
      </c>
    </row>
    <row r="384" spans="1:2" ht="12.75">
      <c r="A384">
        <v>293.6</v>
      </c>
      <c r="B384">
        <v>370</v>
      </c>
    </row>
    <row r="385" spans="1:151" ht="12.75">
      <c r="A385">
        <v>293.6</v>
      </c>
      <c r="B385">
        <v>370</v>
      </c>
      <c r="C385">
        <f>SLOPE(A382:A385,B382:B385)</f>
        <v>0.661261954866636</v>
      </c>
      <c r="D385">
        <f>INTERCEPT(data1!A382:A385,B382:B385)</f>
        <v>49.04463549419151</v>
      </c>
      <c r="EU385" t="b">
        <f>A385='Master Data'!AA98</f>
        <v>1</v>
      </c>
    </row>
    <row r="386" spans="1:2" ht="12.75">
      <c r="A386">
        <v>160.3</v>
      </c>
      <c r="B386">
        <v>175</v>
      </c>
    </row>
    <row r="387" spans="1:2" ht="12.75">
      <c r="A387">
        <v>142.5</v>
      </c>
      <c r="B387">
        <v>148</v>
      </c>
    </row>
    <row r="388" spans="1:2" ht="12.75">
      <c r="A388">
        <v>285.1</v>
      </c>
      <c r="B388">
        <v>370</v>
      </c>
    </row>
    <row r="389" spans="1:4" ht="12.75">
      <c r="A389">
        <v>285.1</v>
      </c>
      <c r="B389">
        <v>370</v>
      </c>
      <c r="C389">
        <f>SLOPE(A386:A389,B386:B389)</f>
        <v>0.6413967732553166</v>
      </c>
      <c r="D389">
        <f>INTERCEPT(data1!A386:A389,B386:B389)</f>
        <v>47.79880750739963</v>
      </c>
    </row>
    <row r="390" spans="1:2" ht="12.75">
      <c r="A390">
        <v>166.6</v>
      </c>
      <c r="B390">
        <v>175</v>
      </c>
    </row>
    <row r="391" spans="1:2" ht="12.75">
      <c r="A391">
        <v>143.9</v>
      </c>
      <c r="B391">
        <v>148</v>
      </c>
    </row>
    <row r="392" spans="1:2" ht="12.75">
      <c r="A392">
        <v>288</v>
      </c>
      <c r="B392">
        <v>370</v>
      </c>
    </row>
    <row r="393" spans="1:4" ht="12.75">
      <c r="A393">
        <v>288</v>
      </c>
      <c r="B393">
        <v>370</v>
      </c>
      <c r="C393">
        <f>SLOPE(A390:A393,B390:B393)</f>
        <v>0.6383873120156034</v>
      </c>
      <c r="D393">
        <f>INTERCEPT(data1!A390:A393,B390:B393)</f>
        <v>51.973571831853405</v>
      </c>
    </row>
    <row r="394" spans="1:2" ht="12.75">
      <c r="A394">
        <v>28.3</v>
      </c>
      <c r="B394">
        <v>175</v>
      </c>
    </row>
    <row r="395" spans="1:2" ht="12.75">
      <c r="A395">
        <v>24.9</v>
      </c>
      <c r="B395">
        <v>44.3</v>
      </c>
    </row>
    <row r="396" spans="1:2" ht="12.75">
      <c r="A396">
        <v>36.3</v>
      </c>
      <c r="B396">
        <v>251.2</v>
      </c>
    </row>
    <row r="397" spans="1:4" ht="12.75">
      <c r="A397">
        <v>37.6</v>
      </c>
      <c r="B397">
        <v>269.4</v>
      </c>
      <c r="C397">
        <f>SLOPE(A394:A397,B394:B397)</f>
        <v>0.0571056328300924</v>
      </c>
      <c r="D397">
        <f>INTERCEPT(data1!A394:A397,B394:B397)</f>
        <v>21.211885567253656</v>
      </c>
    </row>
    <row r="398" spans="1:2" ht="12.75">
      <c r="A398">
        <v>16.1</v>
      </c>
      <c r="B398">
        <v>175</v>
      </c>
    </row>
    <row r="399" spans="1:2" ht="12.75">
      <c r="A399">
        <v>11</v>
      </c>
      <c r="B399">
        <v>5.8</v>
      </c>
    </row>
    <row r="400" spans="1:2" ht="12.75">
      <c r="A400">
        <v>16.9</v>
      </c>
      <c r="B400">
        <v>203.8</v>
      </c>
    </row>
    <row r="401" spans="1:4" ht="12.75">
      <c r="A401">
        <v>17.4</v>
      </c>
      <c r="B401">
        <v>204.1</v>
      </c>
      <c r="C401">
        <f>SLOPE(A398:A401,B398:B401)</f>
        <v>0.030884886936152062</v>
      </c>
      <c r="D401">
        <f>INTERCEPT(data1!A398:A401,B398:B401)</f>
        <v>10.804516765171819</v>
      </c>
    </row>
    <row r="402" spans="1:2" ht="12.75">
      <c r="A402">
        <v>23</v>
      </c>
      <c r="B402">
        <v>175</v>
      </c>
    </row>
    <row r="403" spans="1:2" ht="12.75">
      <c r="A403">
        <v>15.7</v>
      </c>
      <c r="B403">
        <v>7.9</v>
      </c>
    </row>
    <row r="404" spans="1:2" ht="12.75">
      <c r="A404">
        <v>26.1</v>
      </c>
      <c r="B404">
        <v>220</v>
      </c>
    </row>
    <row r="405" spans="1:4" ht="12.75">
      <c r="A405">
        <v>26.5</v>
      </c>
      <c r="B405">
        <v>230</v>
      </c>
      <c r="C405">
        <f>SLOPE(A402:A405,B402:B405)</f>
        <v>0.048359242916264054</v>
      </c>
      <c r="D405">
        <f>INTERCEPT(data1!A402:A405,B402:B405)</f>
        <v>15.173358789574124</v>
      </c>
    </row>
    <row r="406" spans="1:2" ht="12.75">
      <c r="A406">
        <v>24.7</v>
      </c>
      <c r="B406">
        <v>175</v>
      </c>
    </row>
    <row r="407" spans="1:2" ht="12.75">
      <c r="A407">
        <v>15.3</v>
      </c>
      <c r="B407">
        <v>16.8</v>
      </c>
    </row>
    <row r="408" spans="1:2" ht="12.75">
      <c r="A408">
        <v>26.1</v>
      </c>
      <c r="B408">
        <v>190</v>
      </c>
    </row>
    <row r="409" spans="1:4" ht="12.75">
      <c r="A409">
        <v>30.3</v>
      </c>
      <c r="B409">
        <v>232.2</v>
      </c>
      <c r="C409">
        <f>SLOPE(A406:A409,B406:B409)</f>
        <v>0.06660898486527503</v>
      </c>
      <c r="D409">
        <f>INTERCEPT(data1!A406:A409,B406:B409)</f>
        <v>13.875520823180281</v>
      </c>
    </row>
    <row r="410" spans="1:2" ht="12.75">
      <c r="A410">
        <v>23.8</v>
      </c>
      <c r="B410">
        <v>175</v>
      </c>
    </row>
    <row r="411" spans="1:2" ht="12.75">
      <c r="A411">
        <v>13.9</v>
      </c>
      <c r="B411">
        <v>19.1</v>
      </c>
    </row>
    <row r="412" spans="1:2" ht="12.75">
      <c r="A412">
        <v>26.3</v>
      </c>
      <c r="B412">
        <v>210.8</v>
      </c>
    </row>
    <row r="413" spans="1:4" ht="12.75">
      <c r="A413">
        <v>33.3</v>
      </c>
      <c r="B413">
        <v>307.2</v>
      </c>
      <c r="C413">
        <f>SLOPE(A410:A413,B410:B413)</f>
        <v>0.06699231726820708</v>
      </c>
      <c r="D413">
        <f>INTERCEPT(data1!A410:A413,B410:B413)</f>
        <v>12.398692718327435</v>
      </c>
    </row>
    <row r="414" spans="1:2" ht="12.75">
      <c r="A414">
        <v>28.8</v>
      </c>
      <c r="B414">
        <v>175</v>
      </c>
    </row>
    <row r="415" spans="1:2" ht="12.75">
      <c r="A415">
        <v>16.2</v>
      </c>
      <c r="B415">
        <v>17</v>
      </c>
    </row>
    <row r="416" spans="1:2" ht="12.75">
      <c r="A416">
        <v>37.8</v>
      </c>
      <c r="B416">
        <v>272.2</v>
      </c>
    </row>
    <row r="417" spans="1:4" ht="12.75">
      <c r="A417">
        <v>38.4</v>
      </c>
      <c r="B417">
        <v>283.1</v>
      </c>
      <c r="C417">
        <f>SLOPE(A414:A417,B414:B417)</f>
        <v>0.08415826935352139</v>
      </c>
      <c r="D417">
        <f>INTERCEPT(data1!A414:A417,B414:B417)</f>
        <v>14.577131328028365</v>
      </c>
    </row>
    <row r="418" spans="1:2" ht="12.75">
      <c r="A418">
        <v>54.8</v>
      </c>
      <c r="B418">
        <v>175</v>
      </c>
    </row>
    <row r="419" spans="1:2" ht="12.75">
      <c r="A419">
        <v>53.1</v>
      </c>
      <c r="B419">
        <v>89.4</v>
      </c>
    </row>
    <row r="420" spans="1:2" ht="12.75">
      <c r="A420">
        <v>118</v>
      </c>
      <c r="B420">
        <v>440</v>
      </c>
    </row>
    <row r="421" spans="1:4" ht="12.75">
      <c r="A421">
        <v>128.8</v>
      </c>
      <c r="B421">
        <v>540</v>
      </c>
      <c r="C421">
        <f>SLOPE(A418:A421,B418:B421)</f>
        <v>0.18628276267129593</v>
      </c>
      <c r="D421">
        <f>INTERCEPT(data1!A418:A421,B418:B421)</f>
        <v>30.722432532959843</v>
      </c>
    </row>
    <row r="422" spans="1:2" ht="12.75">
      <c r="A422">
        <v>25.8</v>
      </c>
      <c r="B422">
        <v>175</v>
      </c>
    </row>
    <row r="423" spans="1:2" ht="12.75">
      <c r="A423">
        <v>15.8</v>
      </c>
      <c r="B423">
        <v>21.5</v>
      </c>
    </row>
    <row r="424" spans="1:2" ht="12.75">
      <c r="A424">
        <v>27.9</v>
      </c>
      <c r="B424">
        <v>200</v>
      </c>
    </row>
    <row r="425" spans="1:4" ht="12.75">
      <c r="A425">
        <v>34.4</v>
      </c>
      <c r="B425">
        <v>278</v>
      </c>
      <c r="C425">
        <f>SLOPE(A422:A425,B422:B425)</f>
        <v>0.07154197773482826</v>
      </c>
      <c r="D425">
        <f>INTERCEPT(data1!A422:A425,B422:B425)</f>
        <v>13.911234004464585</v>
      </c>
    </row>
    <row r="426" spans="1:2" ht="12.75">
      <c r="A426">
        <v>28.4</v>
      </c>
      <c r="B426">
        <v>175</v>
      </c>
    </row>
    <row r="427" spans="1:2" ht="12.75">
      <c r="A427">
        <v>16.8</v>
      </c>
      <c r="B427">
        <v>18</v>
      </c>
    </row>
    <row r="428" spans="1:2" ht="12.75">
      <c r="A428">
        <v>37.2</v>
      </c>
      <c r="B428">
        <v>270.3</v>
      </c>
    </row>
    <row r="429" spans="1:4" ht="12.75">
      <c r="A429">
        <v>38</v>
      </c>
      <c r="B429">
        <v>281</v>
      </c>
      <c r="C429">
        <f>SLOPE(A426:A429,B426:B429)</f>
        <v>0.08098957049590326</v>
      </c>
      <c r="D429">
        <f>INTERCEPT(data1!A426:A429,B426:B429)</f>
        <v>15.029865669974804</v>
      </c>
    </row>
    <row r="430" spans="1:2" ht="12.75">
      <c r="A430">
        <v>42.5</v>
      </c>
      <c r="B430">
        <v>175</v>
      </c>
    </row>
    <row r="431" spans="1:2" ht="12.75">
      <c r="A431">
        <v>33.3</v>
      </c>
      <c r="B431">
        <v>60.4</v>
      </c>
    </row>
    <row r="432" spans="1:2" ht="12.75">
      <c r="A432">
        <v>74.9</v>
      </c>
      <c r="B432">
        <v>406.3</v>
      </c>
    </row>
    <row r="433" spans="1:151" ht="12.75">
      <c r="A433">
        <v>75.7</v>
      </c>
      <c r="B433">
        <v>447.5</v>
      </c>
      <c r="C433">
        <f>SLOPE(A430:A433,B430:B433)</f>
        <v>0.11752792711779879</v>
      </c>
      <c r="D433">
        <f>INTERCEPT(data1!A430:A433,B430:B433)</f>
        <v>24.59714544582338</v>
      </c>
      <c r="EU433" t="b">
        <f>A433='Master Data'!AA110</f>
        <v>1</v>
      </c>
    </row>
    <row r="434" spans="1:2" ht="12.75">
      <c r="A434">
        <v>53.6</v>
      </c>
      <c r="B434">
        <v>99</v>
      </c>
    </row>
    <row r="435" spans="1:2" ht="12.75">
      <c r="A435">
        <v>50.9</v>
      </c>
      <c r="B435">
        <v>86.6</v>
      </c>
    </row>
    <row r="436" spans="1:2" ht="12.75">
      <c r="A436">
        <v>53.3</v>
      </c>
      <c r="B436">
        <v>90.6</v>
      </c>
    </row>
    <row r="437" spans="1:4" ht="12.75">
      <c r="A437" s="384" t="s">
        <v>182</v>
      </c>
      <c r="B437">
        <v>99</v>
      </c>
      <c r="C437">
        <f>SLOPE(A434:A437,B434:B437)</f>
        <v>0.1897470039946739</v>
      </c>
      <c r="D437">
        <f>INTERCEPT(data1!A434:A437,B434:B437)</f>
        <v>35.13062583222369</v>
      </c>
    </row>
    <row r="438" spans="1:2" ht="12.75">
      <c r="A438" s="384">
        <v>53.6</v>
      </c>
      <c r="B438">
        <v>99</v>
      </c>
    </row>
    <row r="439" spans="1:2" ht="12.75">
      <c r="A439" s="384">
        <v>50.9</v>
      </c>
      <c r="B439">
        <v>86.6</v>
      </c>
    </row>
    <row r="440" spans="1:2" ht="12.75">
      <c r="A440" s="384">
        <v>53.3</v>
      </c>
      <c r="B440">
        <v>90.6</v>
      </c>
    </row>
    <row r="441" spans="1:4" ht="12.75">
      <c r="A441" s="384" t="s">
        <v>182</v>
      </c>
      <c r="B441">
        <v>99</v>
      </c>
      <c r="C441">
        <f>SLOPE(A438:A441,B438:B441)</f>
        <v>0.1897470039946739</v>
      </c>
      <c r="D441">
        <f>INTERCEPT(data1!A438:A441,B438:B441)</f>
        <v>35.13062583222369</v>
      </c>
    </row>
    <row r="442" spans="1:2" ht="12.75">
      <c r="A442">
        <v>18.4</v>
      </c>
      <c r="B442">
        <v>175</v>
      </c>
    </row>
    <row r="444" spans="1:2" ht="12.75">
      <c r="A444">
        <v>21.5</v>
      </c>
      <c r="B444">
        <v>225</v>
      </c>
    </row>
    <row r="445" spans="1:4" ht="12.75">
      <c r="A445">
        <v>26</v>
      </c>
      <c r="B445">
        <v>300</v>
      </c>
      <c r="C445">
        <f>SLOPE(A442:A445,B442:B445)</f>
        <v>0.060736842105263165</v>
      </c>
      <c r="D445">
        <f>INTERCEPT(data1!A442:A445,B442:B445)</f>
        <v>7.794736842105262</v>
      </c>
    </row>
    <row r="446" spans="1:2" ht="12.75">
      <c r="A446">
        <v>27.9</v>
      </c>
      <c r="B446">
        <v>175</v>
      </c>
    </row>
    <row r="448" ht="12.75">
      <c r="A448">
        <v>31</v>
      </c>
    </row>
    <row r="449" spans="1:4" ht="12.75">
      <c r="A449">
        <v>37</v>
      </c>
      <c r="B449">
        <v>300</v>
      </c>
      <c r="C449">
        <f>SLOPE(A446:A449,B446:B449)</f>
        <v>0.07280000000000002</v>
      </c>
      <c r="D449">
        <f>INTERCEPT(data1!A446:A449,B446:B449)</f>
        <v>15.16</v>
      </c>
    </row>
    <row r="450" spans="1:2" ht="12.75">
      <c r="A450">
        <v>15.7</v>
      </c>
      <c r="B450">
        <v>175</v>
      </c>
    </row>
    <row r="451" spans="1:2" ht="12.75">
      <c r="A451">
        <v>10.2</v>
      </c>
      <c r="B451">
        <v>107</v>
      </c>
    </row>
    <row r="452" spans="1:2" ht="12.75">
      <c r="A452">
        <v>12.1</v>
      </c>
      <c r="B452">
        <v>132</v>
      </c>
    </row>
    <row r="453" spans="1:4" ht="12.75">
      <c r="A453">
        <v>19</v>
      </c>
      <c r="B453">
        <v>202</v>
      </c>
      <c r="C453">
        <f>SLOPE(A450:A453,B450:B453)</f>
        <v>0.09122839279146745</v>
      </c>
      <c r="D453">
        <f>INTERCEPT(data1!A450:A453,B450:B453)</f>
        <v>0.2008275101140118</v>
      </c>
    </row>
    <row r="454" spans="1:2" ht="12.75">
      <c r="A454">
        <v>17.9</v>
      </c>
      <c r="B454">
        <v>175</v>
      </c>
    </row>
    <row r="455" spans="1:2" ht="12.75">
      <c r="A455">
        <v>11.9</v>
      </c>
      <c r="B455">
        <v>119</v>
      </c>
    </row>
    <row r="456" spans="1:2" ht="12.75">
      <c r="A456">
        <v>15.8</v>
      </c>
      <c r="B456">
        <v>147</v>
      </c>
    </row>
    <row r="457" spans="1:4" ht="12.75">
      <c r="A457">
        <v>18.2</v>
      </c>
      <c r="B457">
        <v>190</v>
      </c>
      <c r="C457">
        <f>SLOPE(A454:A457,B454:B457)</f>
        <v>0.08960148912767575</v>
      </c>
      <c r="D457">
        <f>INTERCEPT(data1!A454:A457,B454:B457)</f>
        <v>1.8153650901091503</v>
      </c>
    </row>
    <row r="458" spans="1:2" ht="12.75">
      <c r="A458">
        <v>13.6</v>
      </c>
      <c r="B458">
        <v>175</v>
      </c>
    </row>
    <row r="459" spans="1:2" ht="12.75">
      <c r="A459">
        <v>6.9</v>
      </c>
      <c r="B459">
        <v>22.4</v>
      </c>
    </row>
    <row r="460" spans="1:2" ht="12.75">
      <c r="A460">
        <v>13.1</v>
      </c>
      <c r="B460">
        <v>153</v>
      </c>
    </row>
    <row r="461" spans="1:4" ht="12.75">
      <c r="A461">
        <v>16.3</v>
      </c>
      <c r="B461">
        <v>223</v>
      </c>
      <c r="C461">
        <f>SLOPE(A458:A461,B458:B461)</f>
        <v>0.04624800671745847</v>
      </c>
      <c r="D461">
        <f>INTERCEPT(data1!A458:A461,B458:B461)</f>
        <v>5.84534823705233</v>
      </c>
    </row>
    <row r="462" spans="1:2" ht="12.75">
      <c r="A462">
        <v>20.5</v>
      </c>
      <c r="B462">
        <v>175</v>
      </c>
    </row>
    <row r="463" spans="1:2" ht="12.75">
      <c r="A463">
        <v>13.1</v>
      </c>
      <c r="B463">
        <v>71.9</v>
      </c>
    </row>
    <row r="464" spans="1:2" ht="12.75">
      <c r="A464">
        <v>25.6</v>
      </c>
      <c r="B464">
        <v>246</v>
      </c>
    </row>
    <row r="465" spans="1:4" ht="12.75">
      <c r="A465">
        <v>26.5</v>
      </c>
      <c r="B465">
        <v>260</v>
      </c>
      <c r="C465">
        <f>SLOPE(A462:A465,B462:B465)</f>
        <v>0.07145913516203309</v>
      </c>
      <c r="D465">
        <f>INTERCEPT(data1!A462:A465,B462:B465)</f>
        <v>7.974604284126324</v>
      </c>
    </row>
    <row r="466" spans="1:2" ht="12.75">
      <c r="A466">
        <v>27</v>
      </c>
      <c r="B466">
        <v>175</v>
      </c>
    </row>
    <row r="467" spans="1:2" ht="12.75">
      <c r="A467">
        <v>15.4</v>
      </c>
      <c r="B467">
        <v>39</v>
      </c>
    </row>
    <row r="468" spans="1:2" ht="12.75">
      <c r="A468">
        <v>26.5</v>
      </c>
      <c r="B468">
        <v>163</v>
      </c>
    </row>
    <row r="469" spans="1:4" ht="12.75">
      <c r="A469">
        <v>33.8</v>
      </c>
      <c r="B469">
        <v>266</v>
      </c>
      <c r="C469">
        <f>SLOPE(A466:A469,B466:B469)</f>
        <v>0.08146215349260304</v>
      </c>
      <c r="D469">
        <f>INTERCEPT(data1!A466:A469,B466:B469)</f>
        <v>12.579958826064063</v>
      </c>
    </row>
    <row r="470" spans="1:2" ht="12.75">
      <c r="A470">
        <v>31.8</v>
      </c>
      <c r="B470">
        <v>175</v>
      </c>
    </row>
    <row r="471" spans="1:2" ht="12.75">
      <c r="A471">
        <v>15.8</v>
      </c>
      <c r="B471">
        <v>40</v>
      </c>
    </row>
    <row r="472" spans="1:2" ht="12.75">
      <c r="A472">
        <v>31.2</v>
      </c>
      <c r="B472">
        <v>161</v>
      </c>
    </row>
    <row r="473" spans="1:4" ht="12.75">
      <c r="A473">
        <v>39.4</v>
      </c>
      <c r="B473">
        <v>230</v>
      </c>
      <c r="C473">
        <f>SLOPE(A470:A473,B470:B473)</f>
        <v>0.12345480064459113</v>
      </c>
      <c r="D473">
        <f>INTERCEPT(data1!A470:A473,B470:B473)</f>
        <v>10.84659770234444</v>
      </c>
    </row>
    <row r="474" spans="1:2" ht="12.75">
      <c r="A474">
        <v>45.9</v>
      </c>
      <c r="B474">
        <v>175</v>
      </c>
    </row>
    <row r="475" spans="1:2" ht="12.75">
      <c r="A475">
        <v>36</v>
      </c>
      <c r="B475">
        <v>45</v>
      </c>
    </row>
    <row r="476" spans="1:2" ht="12.75">
      <c r="A476">
        <v>84.5</v>
      </c>
      <c r="B476">
        <v>360</v>
      </c>
    </row>
    <row r="477" spans="1:4" ht="12.75">
      <c r="A477">
        <v>90.5</v>
      </c>
      <c r="B477">
        <v>480</v>
      </c>
      <c r="C477">
        <f>SLOPE(A474:A477,B474:B477)</f>
        <v>0.1381118568232662</v>
      </c>
      <c r="D477">
        <f>INTERCEPT(data1!A474:A477,B474:B477)</f>
        <v>27.62535794183445</v>
      </c>
    </row>
    <row r="478" spans="1:2" ht="12.75">
      <c r="A478">
        <v>26.6</v>
      </c>
      <c r="B478">
        <v>175</v>
      </c>
    </row>
    <row r="479" spans="1:2" ht="12.75">
      <c r="A479">
        <v>19.8</v>
      </c>
      <c r="B479">
        <v>50</v>
      </c>
    </row>
    <row r="480" spans="1:2" ht="12.75">
      <c r="A480">
        <v>34.1</v>
      </c>
      <c r="B480">
        <v>221</v>
      </c>
    </row>
    <row r="481" spans="1:4" ht="12.75">
      <c r="A481">
        <v>36.4</v>
      </c>
      <c r="B481">
        <v>293</v>
      </c>
      <c r="C481">
        <f>SLOPE(A478:A481,B478:B481)</f>
        <v>0.07188885958813798</v>
      </c>
      <c r="D481">
        <f>INTERCEPT(data1!A478:A481,B478:B481)</f>
        <v>15.94353319109151</v>
      </c>
    </row>
    <row r="482" spans="1:2" ht="12.75">
      <c r="A482">
        <v>29.4</v>
      </c>
      <c r="B482">
        <v>175</v>
      </c>
    </row>
    <row r="483" spans="1:2" ht="12.75">
      <c r="A483">
        <v>17.2</v>
      </c>
      <c r="B483">
        <v>47</v>
      </c>
    </row>
    <row r="484" spans="1:2" ht="12.75">
      <c r="A484">
        <v>34.6</v>
      </c>
      <c r="B484">
        <v>187</v>
      </c>
    </row>
    <row r="485" spans="1:4" ht="12.75">
      <c r="A485">
        <v>42.2</v>
      </c>
      <c r="B485">
        <v>298</v>
      </c>
      <c r="C485">
        <f>SLOPE(A482:A485,B482:B485)</f>
        <v>0.100751309458915</v>
      </c>
      <c r="D485">
        <f>INTERCEPT(data1!A482:A485,B482:B485)</f>
        <v>13.04220605313677</v>
      </c>
    </row>
    <row r="486" spans="1:2" ht="12.75">
      <c r="A486">
        <v>54.8</v>
      </c>
      <c r="B486">
        <v>100</v>
      </c>
    </row>
    <row r="487" ht="12.75">
      <c r="A487">
        <v>52.88</v>
      </c>
    </row>
    <row r="488" spans="1:2" ht="12.75">
      <c r="A488">
        <v>67.32</v>
      </c>
      <c r="B488">
        <v>106</v>
      </c>
    </row>
    <row r="489" spans="1:151" ht="12.75">
      <c r="A489">
        <v>68.24</v>
      </c>
      <c r="B489">
        <v>120</v>
      </c>
      <c r="C489">
        <f>SLOPE(A486:A489,B486:B489)</f>
        <v>0.5645569620253162</v>
      </c>
      <c r="D489">
        <f>INTERCEPT(data1!A486:A489,B486:B489)</f>
        <v>2.1048101265822936</v>
      </c>
      <c r="EU489" t="b">
        <f>A489='Master Data'!AA124</f>
        <v>1</v>
      </c>
    </row>
    <row r="490" spans="1:2" ht="12.75">
      <c r="A490">
        <v>55.1</v>
      </c>
      <c r="B490">
        <v>100</v>
      </c>
    </row>
    <row r="491" ht="12.75">
      <c r="A491">
        <v>53.17</v>
      </c>
    </row>
    <row r="492" spans="1:2" ht="12.75">
      <c r="A492">
        <v>68.43</v>
      </c>
      <c r="B492">
        <v>106</v>
      </c>
    </row>
    <row r="493" spans="1:4" ht="12.75">
      <c r="A493">
        <v>69.53</v>
      </c>
      <c r="B493">
        <v>122</v>
      </c>
      <c r="C493">
        <f>SLOPE(A490:A493,B490:B493)</f>
        <v>0.5348453608247421</v>
      </c>
      <c r="D493">
        <f>INTERCEPT(data1!A490:A493,B490:B493)</f>
        <v>5.876907216494871</v>
      </c>
    </row>
    <row r="494" spans="1:2" ht="12.75">
      <c r="A494">
        <v>50.3</v>
      </c>
      <c r="B494">
        <v>100</v>
      </c>
    </row>
    <row r="495" ht="12.75">
      <c r="A495">
        <v>43.53</v>
      </c>
    </row>
    <row r="496" spans="1:2" ht="12.75">
      <c r="A496">
        <v>56.39</v>
      </c>
      <c r="B496">
        <v>106</v>
      </c>
    </row>
    <row r="497" spans="1:4" ht="12.75">
      <c r="A497">
        <v>58.38</v>
      </c>
      <c r="B497">
        <v>117</v>
      </c>
      <c r="C497">
        <f>SLOPE(A494:A497,B494:B497)</f>
        <v>0.4389910313901348</v>
      </c>
      <c r="D497">
        <f>INTERCEPT(data1!A494:A497,B494:B497)</f>
        <v>7.758632286995486</v>
      </c>
    </row>
    <row r="498" spans="1:2" ht="12.75">
      <c r="A498">
        <v>54.8</v>
      </c>
      <c r="B498">
        <v>100</v>
      </c>
    </row>
    <row r="499" ht="12.75">
      <c r="A499">
        <v>52.88</v>
      </c>
    </row>
    <row r="500" spans="1:2" ht="12.75">
      <c r="A500">
        <v>67.32</v>
      </c>
      <c r="B500">
        <v>106</v>
      </c>
    </row>
    <row r="501" spans="1:4" ht="12.75">
      <c r="A501">
        <v>68.24</v>
      </c>
      <c r="B501">
        <v>120</v>
      </c>
      <c r="C501">
        <f>SLOPE(A498:A501,B498:B501)</f>
        <v>0.5645569620253162</v>
      </c>
      <c r="D501">
        <f>INTERCEPT(data1!A498:A501,B498:B501)</f>
        <v>2.1048101265822936</v>
      </c>
    </row>
    <row r="502" spans="1:2" ht="12.75">
      <c r="A502">
        <v>24.3</v>
      </c>
      <c r="B502">
        <v>175</v>
      </c>
    </row>
    <row r="503" spans="1:2" ht="12.75">
      <c r="A503">
        <v>15.4</v>
      </c>
      <c r="B503">
        <v>52</v>
      </c>
    </row>
    <row r="504" spans="1:2" ht="12.75">
      <c r="A504">
        <v>24.1</v>
      </c>
      <c r="B504">
        <v>170</v>
      </c>
    </row>
    <row r="505" spans="1:4" ht="12.75">
      <c r="A505">
        <v>35.3</v>
      </c>
      <c r="B505">
        <v>311</v>
      </c>
      <c r="C505">
        <f>SLOPE(A502:A505,B502:B505)</f>
        <v>0.07694297437117202</v>
      </c>
      <c r="D505">
        <f>INTERCEPT(data1!A502:A505,B502:B505)</f>
        <v>11.156093536302551</v>
      </c>
    </row>
    <row r="506" spans="1:2" ht="12.75">
      <c r="A506">
        <v>37</v>
      </c>
      <c r="B506">
        <v>175</v>
      </c>
    </row>
    <row r="507" spans="1:2" ht="12.75">
      <c r="A507">
        <v>26.4</v>
      </c>
      <c r="B507">
        <v>36.6</v>
      </c>
    </row>
    <row r="508" spans="1:2" ht="12.75">
      <c r="A508">
        <v>68.4</v>
      </c>
      <c r="B508">
        <v>284</v>
      </c>
    </row>
    <row r="509" spans="1:4" ht="12.75">
      <c r="A509">
        <v>84.5</v>
      </c>
      <c r="B509">
        <v>554</v>
      </c>
      <c r="C509">
        <f>SLOPE(A506:A509,B506:B509)</f>
        <v>0.1174197996246501</v>
      </c>
      <c r="D509">
        <f>INTERCEPT(data1!A506:A509,B506:B509)</f>
        <v>23.26404457849182</v>
      </c>
    </row>
    <row r="510" spans="1:2" ht="12.75">
      <c r="A510">
        <v>61.2</v>
      </c>
      <c r="B510">
        <v>100</v>
      </c>
    </row>
    <row r="511" ht="12.75">
      <c r="A511">
        <v>58.6</v>
      </c>
    </row>
    <row r="512" spans="1:2" ht="12.75">
      <c r="A512">
        <v>72.2</v>
      </c>
      <c r="B512">
        <v>106</v>
      </c>
    </row>
    <row r="513" spans="1:4" ht="12.75">
      <c r="A513">
        <v>73.4</v>
      </c>
      <c r="B513">
        <v>120</v>
      </c>
      <c r="C513">
        <f>SLOPE(A510:A513,B510:B513)</f>
        <v>0.5170886075949368</v>
      </c>
      <c r="D513">
        <f>INTERCEPT(data1!A510:A513,B510:B513)</f>
        <v>12.743037974683538</v>
      </c>
    </row>
    <row r="514" spans="1:2" ht="12.75">
      <c r="A514">
        <v>16.8</v>
      </c>
      <c r="B514">
        <v>175</v>
      </c>
    </row>
    <row r="515" spans="1:2" ht="12.75">
      <c r="A515">
        <v>10.7</v>
      </c>
      <c r="B515">
        <v>60</v>
      </c>
    </row>
    <row r="516" spans="1:2" ht="12.75">
      <c r="A516">
        <v>17.6</v>
      </c>
      <c r="B516">
        <v>195</v>
      </c>
    </row>
    <row r="517" spans="1:4" ht="12.75">
      <c r="A517">
        <v>20.1</v>
      </c>
      <c r="B517">
        <v>255</v>
      </c>
      <c r="C517">
        <f>SLOPE(A514:A517,B514:B517)</f>
        <v>0.048776212832550875</v>
      </c>
      <c r="D517">
        <f>INTERCEPT(data1!A514:A517,B514:B517)</f>
        <v>7.947073552425664</v>
      </c>
    </row>
    <row r="518" spans="1:2" ht="12.75">
      <c r="A518">
        <v>15.7</v>
      </c>
      <c r="B518">
        <v>175</v>
      </c>
    </row>
    <row r="519" spans="1:2" ht="12.75">
      <c r="A519">
        <v>10.2</v>
      </c>
      <c r="B519">
        <v>107</v>
      </c>
    </row>
    <row r="520" spans="1:2" ht="12.75">
      <c r="A520">
        <v>16.8</v>
      </c>
      <c r="B520">
        <v>132</v>
      </c>
    </row>
    <row r="521" spans="1:151" ht="12.75">
      <c r="A521">
        <v>19</v>
      </c>
      <c r="B521">
        <v>202</v>
      </c>
      <c r="C521">
        <f>SLOPE(A518:A521,B518:B521)</f>
        <v>0.07221404928282457</v>
      </c>
      <c r="D521">
        <f>INTERCEPT(data1!A518:A521,B518:B521)</f>
        <v>4.304036410445017</v>
      </c>
      <c r="EU521" t="b">
        <f>A521='Master Data'!AA132</f>
        <v>1</v>
      </c>
    </row>
    <row r="522" spans="1:2" ht="12.75">
      <c r="A522">
        <v>13.6</v>
      </c>
      <c r="B522">
        <v>175</v>
      </c>
    </row>
    <row r="523" spans="1:2" ht="12.75">
      <c r="A523">
        <v>6.9</v>
      </c>
      <c r="B523">
        <v>45</v>
      </c>
    </row>
    <row r="524" spans="1:2" ht="12.75">
      <c r="A524">
        <v>13.8</v>
      </c>
      <c r="B524">
        <v>153</v>
      </c>
    </row>
    <row r="525" spans="1:4" ht="12.75">
      <c r="A525">
        <v>16.3</v>
      </c>
      <c r="B525">
        <v>223</v>
      </c>
      <c r="C525">
        <f>SLOPE(A522:A525,B522:B525)</f>
        <v>0.05283796514366462</v>
      </c>
      <c r="D525">
        <f>INTERCEPT(data1!A522:A525,B522:B525)</f>
        <v>4.77714319359397</v>
      </c>
    </row>
    <row r="526" spans="1:2" ht="12.75">
      <c r="A526">
        <v>20.5</v>
      </c>
      <c r="B526">
        <v>175</v>
      </c>
    </row>
    <row r="527" spans="1:2" ht="12.75">
      <c r="A527">
        <v>13.1</v>
      </c>
      <c r="B527">
        <v>71.9</v>
      </c>
    </row>
    <row r="528" spans="1:2" ht="12.75">
      <c r="A528">
        <v>25.6</v>
      </c>
      <c r="B528">
        <v>246</v>
      </c>
    </row>
    <row r="529" spans="1:4" ht="12.75">
      <c r="A529">
        <v>26.5</v>
      </c>
      <c r="B529">
        <v>260</v>
      </c>
      <c r="C529">
        <f>SLOPE(A526:A529,B526:B529)</f>
        <v>0.07145913516203309</v>
      </c>
      <c r="D529">
        <f>INTERCEPT(data1!A526:A529,B526:B529)</f>
        <v>7.974604284126324</v>
      </c>
    </row>
    <row r="530" spans="1:2" ht="12.75">
      <c r="A530">
        <v>27</v>
      </c>
      <c r="B530">
        <v>175</v>
      </c>
    </row>
    <row r="531" spans="1:2" ht="12.75">
      <c r="A531">
        <v>15.5</v>
      </c>
      <c r="B531">
        <v>67</v>
      </c>
    </row>
    <row r="532" spans="1:2" ht="12.75">
      <c r="A532">
        <v>31.2</v>
      </c>
      <c r="B532">
        <v>163</v>
      </c>
    </row>
    <row r="533" spans="1:4" ht="12.75">
      <c r="A533">
        <v>33.8</v>
      </c>
      <c r="B533">
        <v>266</v>
      </c>
      <c r="C533">
        <f>SLOPE(A530:A533,B530:B533)</f>
        <v>0.0908897692259322</v>
      </c>
      <c r="D533">
        <f>INTERCEPT(data1!A530:A533,B530:B533)</f>
        <v>11.628241212349874</v>
      </c>
    </row>
    <row r="534" spans="1:2" ht="12.75">
      <c r="A534">
        <v>24.3</v>
      </c>
      <c r="B534">
        <v>175</v>
      </c>
    </row>
    <row r="535" spans="1:2" ht="12.75">
      <c r="A535">
        <v>15.6</v>
      </c>
      <c r="B535">
        <v>52</v>
      </c>
    </row>
    <row r="536" spans="1:2" ht="12.75">
      <c r="A536">
        <v>29.7</v>
      </c>
      <c r="B536">
        <v>170</v>
      </c>
    </row>
    <row r="537" spans="1:4" ht="12.75">
      <c r="A537">
        <v>35.3</v>
      </c>
      <c r="B537">
        <v>311</v>
      </c>
      <c r="C537">
        <f>SLOPE(A534:A537,B534:B537)</f>
        <v>0.07503419159184159</v>
      </c>
      <c r="D537">
        <f>INTERCEPT(data1!A534:A537,B534:B537)</f>
        <v>12.943948088244037</v>
      </c>
    </row>
    <row r="538" spans="1:2" ht="12.75">
      <c r="A538">
        <v>26.6</v>
      </c>
      <c r="B538">
        <v>175</v>
      </c>
    </row>
    <row r="539" spans="1:2" ht="12.75">
      <c r="A539">
        <v>19.9</v>
      </c>
      <c r="B539">
        <v>50</v>
      </c>
    </row>
    <row r="540" spans="1:2" ht="12.75">
      <c r="A540">
        <v>34.1</v>
      </c>
      <c r="B540">
        <v>221</v>
      </c>
    </row>
    <row r="541" spans="1:4" ht="12.75">
      <c r="A541">
        <v>36.4</v>
      </c>
      <c r="B541">
        <v>293</v>
      </c>
      <c r="C541">
        <f>SLOPE(A538:A541,B538:B541)</f>
        <v>0.07145813854993248</v>
      </c>
      <c r="D541">
        <f>INTERCEPT(data1!A538:A541,B538:B541)</f>
        <v>16.048108902899976</v>
      </c>
    </row>
    <row r="542" spans="1:2" ht="12.75">
      <c r="A542">
        <v>29.4</v>
      </c>
      <c r="B542">
        <v>175</v>
      </c>
    </row>
    <row r="543" spans="1:2" ht="12.75">
      <c r="A543">
        <v>20.2</v>
      </c>
      <c r="B543">
        <v>47</v>
      </c>
    </row>
    <row r="544" spans="1:2" ht="12.75">
      <c r="A544">
        <v>34.6</v>
      </c>
      <c r="B544">
        <v>187</v>
      </c>
    </row>
    <row r="545" spans="1:151" ht="12.75">
      <c r="A545">
        <v>42.2</v>
      </c>
      <c r="B545">
        <v>298</v>
      </c>
      <c r="C545">
        <f>SLOPE(A542:A545,B542:B545)</f>
        <v>0.08845069087289362</v>
      </c>
      <c r="D545">
        <f>INTERCEPT(data1!A542:A545,B542:B545)</f>
        <v>15.966340388216052</v>
      </c>
      <c r="EU545" t="b">
        <f>A545='Master Data'!AA138</f>
        <v>1</v>
      </c>
    </row>
    <row r="546" spans="1:2" ht="12.75">
      <c r="A546">
        <v>38</v>
      </c>
      <c r="B546">
        <v>175</v>
      </c>
    </row>
    <row r="547" spans="1:2" ht="12.75">
      <c r="A547">
        <v>26.4</v>
      </c>
      <c r="B547">
        <v>36.6</v>
      </c>
    </row>
    <row r="548" spans="1:2" ht="12.75">
      <c r="A548">
        <v>68.4</v>
      </c>
      <c r="B548">
        <v>284</v>
      </c>
    </row>
    <row r="549" spans="1:151" ht="12.75">
      <c r="A549">
        <v>84.5</v>
      </c>
      <c r="B549">
        <v>554</v>
      </c>
      <c r="C549">
        <f>SLOPE(A546:A549,B546:B549)</f>
        <v>0.11681336694200839</v>
      </c>
      <c r="D549">
        <f>INTERCEPT(data1!A546:A549,B546:B549)</f>
        <v>23.673172514417004</v>
      </c>
      <c r="EU549" t="b">
        <f>A549='Master Data'!AA139</f>
        <v>1</v>
      </c>
    </row>
    <row r="550" spans="1:2" ht="12.75">
      <c r="A550">
        <v>45.9</v>
      </c>
      <c r="B550">
        <v>175</v>
      </c>
    </row>
    <row r="551" spans="1:2" ht="12.75">
      <c r="A551">
        <v>36</v>
      </c>
      <c r="B551">
        <v>45</v>
      </c>
    </row>
    <row r="552" spans="1:2" ht="12.75">
      <c r="A552">
        <v>84.5</v>
      </c>
      <c r="B552">
        <v>360</v>
      </c>
    </row>
    <row r="553" spans="1:151" ht="12.75">
      <c r="A553">
        <v>90.5</v>
      </c>
      <c r="B553">
        <v>480</v>
      </c>
      <c r="C553">
        <f>SLOPE(A550:A553,B550:B553)</f>
        <v>0.1381118568232662</v>
      </c>
      <c r="D553">
        <f>INTERCEPT(data1!A550:A553,B550:B553)</f>
        <v>27.62535794183445</v>
      </c>
      <c r="EU553" t="b">
        <f>A553='Master Data'!AA140</f>
        <v>1</v>
      </c>
    </row>
    <row r="554" spans="1:2" ht="12.75">
      <c r="A554">
        <v>15.7</v>
      </c>
      <c r="B554">
        <v>175.6</v>
      </c>
    </row>
    <row r="555" spans="1:2" ht="12.75">
      <c r="A555">
        <v>9.8</v>
      </c>
      <c r="B555">
        <v>3.35</v>
      </c>
    </row>
    <row r="556" spans="1:2" ht="12.75">
      <c r="A556">
        <v>16.7</v>
      </c>
      <c r="B556">
        <v>189.2</v>
      </c>
    </row>
    <row r="557" spans="1:151" ht="12.75">
      <c r="A557">
        <v>16.9</v>
      </c>
      <c r="B557">
        <v>242</v>
      </c>
      <c r="C557">
        <f>SLOPE(A554:A557,B554:B557)</f>
        <v>0.031871075124215865</v>
      </c>
      <c r="D557">
        <f>INTERCEPT(data1!A554:A557,B554:B557)</f>
        <v>9.913465878239922</v>
      </c>
      <c r="EU557" t="b">
        <f>A557='Master Data'!AA141</f>
        <v>1</v>
      </c>
    </row>
    <row r="558" spans="1:2" ht="12.75">
      <c r="A558">
        <v>14.2</v>
      </c>
      <c r="B558">
        <v>174.7</v>
      </c>
    </row>
    <row r="559" spans="1:2" ht="12.75">
      <c r="A559">
        <v>9.9</v>
      </c>
      <c r="B559">
        <v>6.72</v>
      </c>
    </row>
    <row r="560" spans="1:2" ht="12.75">
      <c r="A560">
        <v>16.3</v>
      </c>
      <c r="B560">
        <v>244.3</v>
      </c>
    </row>
    <row r="561" spans="1:151" ht="12.75">
      <c r="A561">
        <v>16.7</v>
      </c>
      <c r="B561">
        <v>289.7</v>
      </c>
      <c r="C561">
        <f>SLOPE(A558:A561,B558:B561)</f>
        <v>0.024984700399845</v>
      </c>
      <c r="D561">
        <f>INTERCEPT(data1!A558:A561,B558:B561)</f>
        <v>9.806361409985724</v>
      </c>
      <c r="EU561" t="b">
        <f>A561='Master Data'!AA142</f>
        <v>1</v>
      </c>
    </row>
    <row r="562" spans="1:2" ht="12.75">
      <c r="A562">
        <v>15.9</v>
      </c>
      <c r="B562">
        <v>175.7</v>
      </c>
    </row>
    <row r="563" spans="1:2" ht="12.75">
      <c r="A563">
        <v>11.8</v>
      </c>
      <c r="B563">
        <v>4.27</v>
      </c>
    </row>
    <row r="564" spans="1:2" ht="12.75">
      <c r="A564">
        <v>16.4</v>
      </c>
      <c r="B564">
        <v>174</v>
      </c>
    </row>
    <row r="565" spans="1:151" ht="12.75">
      <c r="A565">
        <v>16.3</v>
      </c>
      <c r="B565">
        <v>246.5</v>
      </c>
      <c r="C565">
        <f>SLOPE(A562:A565,B562:B565)</f>
        <v>0.020401141368022496</v>
      </c>
      <c r="D565">
        <f>INTERCEPT(data1!A562:A565,B562:B565)</f>
        <v>12.037431660685884</v>
      </c>
      <c r="EU565" t="b">
        <f>A565='Master Data'!AA143</f>
        <v>1</v>
      </c>
    </row>
    <row r="566" spans="1:2" ht="12.75">
      <c r="A566">
        <v>27.4</v>
      </c>
      <c r="B566">
        <v>174.4</v>
      </c>
    </row>
    <row r="567" spans="1:2" ht="12.75">
      <c r="A567">
        <v>15.5</v>
      </c>
      <c r="B567">
        <v>10.74</v>
      </c>
    </row>
    <row r="568" spans="1:2" ht="12.75">
      <c r="A568">
        <v>27.9</v>
      </c>
      <c r="B568">
        <v>172.4</v>
      </c>
    </row>
    <row r="569" spans="1:151" ht="12.75">
      <c r="A569">
        <v>28.4</v>
      </c>
      <c r="B569">
        <v>243.7</v>
      </c>
      <c r="C569">
        <f>SLOPE(A566:A569,B566:B569)</f>
        <v>0.0603119808253246</v>
      </c>
      <c r="D569">
        <f>INTERCEPT(data1!A566:A569,B566:B569)</f>
        <v>15.734506162145456</v>
      </c>
      <c r="EU569" t="b">
        <f>A569='Master Data'!AA144</f>
        <v>1</v>
      </c>
    </row>
    <row r="570" spans="1:2" ht="12.75">
      <c r="A570">
        <v>22</v>
      </c>
      <c r="B570">
        <v>174.4</v>
      </c>
    </row>
    <row r="571" spans="1:2" ht="12.75">
      <c r="A571">
        <v>14.2</v>
      </c>
      <c r="B571">
        <v>12.15</v>
      </c>
    </row>
    <row r="572" spans="1:2" ht="12.75">
      <c r="A572">
        <v>26.4</v>
      </c>
      <c r="B572">
        <v>225.9</v>
      </c>
    </row>
    <row r="573" spans="1:151" ht="12.75">
      <c r="A573">
        <v>27.4</v>
      </c>
      <c r="B573">
        <v>303</v>
      </c>
      <c r="C573">
        <f>SLOPE(A570:A573,B570:B573)</f>
        <v>0.04792858884234088</v>
      </c>
      <c r="D573">
        <f>INTERCEPT(data1!A570:A573,B570:B573)</f>
        <v>13.927372778186804</v>
      </c>
      <c r="EU573" t="b">
        <f>A573='Master Data'!AA145</f>
        <v>1</v>
      </c>
    </row>
    <row r="574" spans="1:2" ht="12.75">
      <c r="A574">
        <v>21.1</v>
      </c>
      <c r="B574">
        <v>175.6</v>
      </c>
    </row>
    <row r="575" spans="1:2" ht="12.75">
      <c r="A575">
        <v>14.9</v>
      </c>
      <c r="B575">
        <v>9.79</v>
      </c>
    </row>
    <row r="576" spans="1:2" ht="12.75">
      <c r="A576">
        <v>26.5</v>
      </c>
      <c r="B576">
        <v>251.3</v>
      </c>
    </row>
    <row r="577" spans="1:151" ht="12.75">
      <c r="A577">
        <v>27.3</v>
      </c>
      <c r="B577">
        <v>287.1</v>
      </c>
      <c r="C577">
        <f>SLOPE(A574:A577,B574:B577)</f>
        <v>0.04609497087936128</v>
      </c>
      <c r="D577">
        <f>INTERCEPT(data1!A574:A577,B574:B577)</f>
        <v>14.109230256806775</v>
      </c>
      <c r="EU577" t="b">
        <f>A577='Master Data'!AA146</f>
        <v>1</v>
      </c>
    </row>
    <row r="578" spans="1:2" ht="12.75">
      <c r="A578">
        <v>24</v>
      </c>
      <c r="B578">
        <v>175.4</v>
      </c>
    </row>
    <row r="579" spans="1:2" ht="12.75">
      <c r="A579">
        <v>13.9</v>
      </c>
      <c r="B579">
        <v>8.15</v>
      </c>
    </row>
    <row r="580" spans="1:2" ht="12.75">
      <c r="A580">
        <v>25.1</v>
      </c>
      <c r="B580">
        <v>182.8</v>
      </c>
    </row>
    <row r="581" spans="1:151" ht="12.75">
      <c r="A581" s="17">
        <v>25.6</v>
      </c>
      <c r="B581" s="17">
        <v>210.1</v>
      </c>
      <c r="C581" s="17">
        <f>SLOPE(A578:A581,B578:B581)</f>
        <v>0.060095220740639284</v>
      </c>
      <c r="D581" s="17">
        <f>INTERCEPT(data1!A578:A581,B578:B581)</f>
        <v>13.489527501014619</v>
      </c>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17"/>
      <c r="CF581" s="17"/>
      <c r="CG581" s="17"/>
      <c r="CH581" s="17"/>
      <c r="CI581" s="17"/>
      <c r="CJ581" s="17"/>
      <c r="CK581" s="17"/>
      <c r="CL581" s="17"/>
      <c r="CM581" s="17"/>
      <c r="CN581" s="17"/>
      <c r="CO581" s="17"/>
      <c r="CP581" s="17"/>
      <c r="CQ581" s="17"/>
      <c r="CR581" s="17"/>
      <c r="CS581" s="17"/>
      <c r="CT581" s="17"/>
      <c r="CU581" s="17"/>
      <c r="CV581" s="17"/>
      <c r="CW581" s="17"/>
      <c r="CX581" s="17"/>
      <c r="CY581" s="17"/>
      <c r="CZ581" s="17"/>
      <c r="DA581" s="17"/>
      <c r="DB581" s="17"/>
      <c r="DC581" s="17"/>
      <c r="DD581" s="17"/>
      <c r="DE581" s="17"/>
      <c r="DF581" s="17"/>
      <c r="DG581" s="17"/>
      <c r="DH581" s="17"/>
      <c r="DI581" s="17"/>
      <c r="DJ581" s="17"/>
      <c r="DK581" s="17"/>
      <c r="DL581" s="17"/>
      <c r="DM581" s="17"/>
      <c r="DN581" s="17"/>
      <c r="DO581" s="17"/>
      <c r="DP581" s="17"/>
      <c r="DQ581" s="17"/>
      <c r="DR581" s="17"/>
      <c r="DS581" s="17"/>
      <c r="DT581" s="17"/>
      <c r="DU581" s="17"/>
      <c r="DV581" s="17"/>
      <c r="DW581" s="17"/>
      <c r="DX581" s="17"/>
      <c r="DY581" s="17"/>
      <c r="DZ581" s="17"/>
      <c r="EA581" s="17"/>
      <c r="EB581" s="17"/>
      <c r="EC581" s="17"/>
      <c r="ED581" s="17"/>
      <c r="EE581" s="17"/>
      <c r="EF581" s="17"/>
      <c r="EG581" s="17"/>
      <c r="EH581" s="17"/>
      <c r="EI581" s="17"/>
      <c r="EJ581" s="17"/>
      <c r="EK581" s="17"/>
      <c r="EL581" s="17"/>
      <c r="EM581" s="17"/>
      <c r="EN581" s="17"/>
      <c r="EO581" s="17"/>
      <c r="EP581" s="17"/>
      <c r="EQ581" s="17"/>
      <c r="ER581" s="17"/>
      <c r="ES581" s="17"/>
      <c r="ET581" s="17"/>
      <c r="EU581" s="17" t="b">
        <f>A581='Master Data'!AA147</f>
        <v>1</v>
      </c>
    </row>
    <row r="582" spans="1:2" ht="12.75">
      <c r="A582">
        <v>25.3</v>
      </c>
      <c r="B582">
        <v>174.3</v>
      </c>
    </row>
    <row r="583" spans="1:2" ht="12.75">
      <c r="A583">
        <v>17.5</v>
      </c>
      <c r="B583">
        <v>16</v>
      </c>
    </row>
    <row r="584" spans="1:2" ht="12.75">
      <c r="A584">
        <v>32.7</v>
      </c>
      <c r="B584">
        <v>254</v>
      </c>
    </row>
    <row r="585" spans="1:151" ht="12.75">
      <c r="A585">
        <v>32.4</v>
      </c>
      <c r="B585">
        <v>320</v>
      </c>
      <c r="C585">
        <f>SLOPE(A582:A585,B582:B585)</f>
        <v>0.05331763335377605</v>
      </c>
      <c r="D585">
        <f>INTERCEPT(data1!A582:A585,B582:B585)</f>
        <v>16.787333206927244</v>
      </c>
      <c r="EU585" t="b">
        <f>A585='Master Data'!AA148</f>
        <v>1</v>
      </c>
    </row>
    <row r="586" spans="1:2" ht="12.75">
      <c r="A586">
        <v>27</v>
      </c>
      <c r="B586">
        <v>174.9</v>
      </c>
    </row>
    <row r="587" spans="1:2" ht="12.75">
      <c r="A587">
        <v>16.7</v>
      </c>
      <c r="B587">
        <v>11.5</v>
      </c>
    </row>
    <row r="588" spans="1:2" ht="12.75">
      <c r="A588">
        <v>31.5</v>
      </c>
      <c r="B588">
        <v>211</v>
      </c>
    </row>
    <row r="589" spans="1:151" ht="12.75">
      <c r="A589">
        <v>31.6</v>
      </c>
      <c r="B589">
        <v>242.5</v>
      </c>
      <c r="C589">
        <f>SLOPE(A586:A589,B586:B589)</f>
        <v>0.06750057584854509</v>
      </c>
      <c r="D589">
        <f>INTERCEPT(data1!A586:A589,B586:B589)</f>
        <v>15.901595378629002</v>
      </c>
      <c r="EU589" t="b">
        <f>A589='Master Data'!AA149</f>
        <v>1</v>
      </c>
    </row>
    <row r="590" spans="1:2" ht="12.75">
      <c r="A590">
        <v>26.5</v>
      </c>
      <c r="B590">
        <v>175.2</v>
      </c>
    </row>
    <row r="591" spans="1:2" ht="12.75">
      <c r="A591">
        <v>17.1</v>
      </c>
      <c r="B591">
        <v>12.9</v>
      </c>
    </row>
    <row r="592" spans="1:2" ht="12.75">
      <c r="A592">
        <v>31.7</v>
      </c>
      <c r="B592">
        <v>227</v>
      </c>
    </row>
    <row r="593" spans="1:151" ht="12.75">
      <c r="A593">
        <v>31.8</v>
      </c>
      <c r="B593">
        <v>302.7</v>
      </c>
      <c r="C593">
        <f>SLOPE(A590:A593,B590:B593)</f>
        <v>0.05454844472934643</v>
      </c>
      <c r="D593">
        <f>INTERCEPT(data1!A590:A593,B590:B593)</f>
        <v>16.986281593318783</v>
      </c>
      <c r="EU593" t="b">
        <f>A593='Master Data'!AA150</f>
        <v>1</v>
      </c>
    </row>
    <row r="594" spans="1:2" ht="12.75">
      <c r="A594">
        <v>22.5</v>
      </c>
      <c r="B594">
        <v>175.5</v>
      </c>
    </row>
    <row r="595" spans="1:2" ht="12.75">
      <c r="A595">
        <v>16.4</v>
      </c>
      <c r="B595">
        <v>8.7</v>
      </c>
    </row>
    <row r="596" spans="1:2" ht="12.75">
      <c r="A596">
        <v>31</v>
      </c>
      <c r="B596">
        <v>187</v>
      </c>
    </row>
    <row r="597" spans="1:153" ht="12.75">
      <c r="A597">
        <v>31.5</v>
      </c>
      <c r="B597">
        <v>280</v>
      </c>
      <c r="C597">
        <f>SLOPE(A594:A597,B594:B597)</f>
        <v>0.05756040218071975</v>
      </c>
      <c r="D597">
        <f>INTERCEPT(data1!A594:A597,B594:B597)</f>
        <v>15.979166524978826</v>
      </c>
      <c r="EU597" t="b">
        <f>A597='Master Data'!AA151</f>
        <v>1</v>
      </c>
      <c r="EW597">
        <f>596/4</f>
        <v>149</v>
      </c>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4"/>
  <dimension ref="A1:H40"/>
  <sheetViews>
    <sheetView workbookViewId="0" topLeftCell="A1">
      <selection activeCell="E29" sqref="E29"/>
    </sheetView>
  </sheetViews>
  <sheetFormatPr defaultColWidth="9.140625" defaultRowHeight="12.75"/>
  <cols>
    <col min="1" max="1" width="27.28125" style="0" customWidth="1"/>
    <col min="2" max="2" width="18.28125" style="0" customWidth="1"/>
    <col min="3" max="3" width="20.00390625" style="0" customWidth="1"/>
    <col min="4" max="4" width="14.28125" style="0" customWidth="1"/>
    <col min="5" max="5" width="19.421875" style="0" customWidth="1"/>
    <col min="6" max="6" width="21.7109375" style="0" customWidth="1"/>
  </cols>
  <sheetData>
    <row r="1" ht="12.75">
      <c r="A1" t="s">
        <v>66</v>
      </c>
    </row>
    <row r="2" spans="1:8" s="216" customFormat="1" ht="63.75">
      <c r="A2" s="220" t="s">
        <v>39</v>
      </c>
      <c r="B2" s="219" t="s">
        <v>54</v>
      </c>
      <c r="C2" s="419" t="s">
        <v>306</v>
      </c>
      <c r="D2" s="419" t="s">
        <v>305</v>
      </c>
      <c r="E2" s="219" t="s">
        <v>78</v>
      </c>
      <c r="F2" s="219"/>
      <c r="H2" s="216" t="s">
        <v>265</v>
      </c>
    </row>
    <row r="3" spans="1:7" ht="12.75">
      <c r="A3" s="3" t="s">
        <v>40</v>
      </c>
      <c r="B3" s="412">
        <v>-25</v>
      </c>
      <c r="C3" s="412">
        <v>3</v>
      </c>
      <c r="D3" s="413">
        <v>3</v>
      </c>
      <c r="E3" s="413">
        <v>4</v>
      </c>
      <c r="F3" s="4"/>
      <c r="G3" s="4"/>
    </row>
    <row r="4" spans="1:7" ht="12.75">
      <c r="A4" s="3" t="s">
        <v>41</v>
      </c>
      <c r="B4" s="412">
        <v>33</v>
      </c>
      <c r="C4" s="412">
        <v>9</v>
      </c>
      <c r="D4" s="412">
        <v>6</v>
      </c>
      <c r="E4" s="412">
        <v>35</v>
      </c>
      <c r="F4" s="3"/>
      <c r="G4" s="3"/>
    </row>
    <row r="5" spans="1:8" ht="12.75">
      <c r="A5" s="3" t="s">
        <v>42</v>
      </c>
      <c r="B5" s="412">
        <v>0.05</v>
      </c>
      <c r="C5" s="412">
        <v>0.05</v>
      </c>
      <c r="D5" s="412">
        <v>0.05</v>
      </c>
      <c r="E5" s="412">
        <v>0.12</v>
      </c>
      <c r="F5" s="3"/>
      <c r="G5" s="406">
        <v>0.2</v>
      </c>
      <c r="H5" t="s">
        <v>266</v>
      </c>
    </row>
    <row r="6" spans="1:8" ht="12.75">
      <c r="A6" s="15"/>
      <c r="B6" s="3"/>
      <c r="C6" s="412">
        <v>200</v>
      </c>
      <c r="D6" s="412">
        <v>175</v>
      </c>
      <c r="E6" s="412">
        <v>350</v>
      </c>
      <c r="F6" s="3"/>
      <c r="G6" s="406">
        <v>0.8</v>
      </c>
      <c r="H6" t="s">
        <v>267</v>
      </c>
    </row>
    <row r="7" ht="12.75">
      <c r="A7" s="3" t="s">
        <v>65</v>
      </c>
    </row>
    <row r="8" ht="12.75">
      <c r="A8" s="14" t="s">
        <v>67</v>
      </c>
    </row>
    <row r="9" ht="12.75">
      <c r="A9" s="14" t="s">
        <v>68</v>
      </c>
    </row>
    <row r="10" ht="12.75">
      <c r="A10" t="s">
        <v>69</v>
      </c>
    </row>
    <row r="14" spans="3:7" ht="12.75">
      <c r="C14" s="4"/>
      <c r="E14" s="17"/>
      <c r="F14" s="17"/>
      <c r="G14" s="17"/>
    </row>
    <row r="15" spans="3:6" ht="12.75">
      <c r="C15" s="3"/>
      <c r="D15" s="3"/>
      <c r="E15" s="17"/>
      <c r="F15" s="17"/>
    </row>
    <row r="16" spans="3:4" ht="12.75">
      <c r="C16" s="3"/>
      <c r="D16" s="3"/>
    </row>
    <row r="17" spans="3:5" ht="12.75">
      <c r="C17" s="3"/>
      <c r="D17" s="411"/>
      <c r="E17" s="4"/>
    </row>
    <row r="18" spans="3:5" ht="12.75">
      <c r="C18" s="3"/>
      <c r="D18" s="411"/>
      <c r="E18" s="3"/>
    </row>
    <row r="19" ht="12.75">
      <c r="E19" s="3"/>
    </row>
    <row r="20" spans="3:5" ht="12.75">
      <c r="C20" s="367"/>
      <c r="D20" s="367"/>
      <c r="E20" s="367"/>
    </row>
    <row r="21" ht="12.75">
      <c r="D21" s="19"/>
    </row>
    <row r="28" spans="3:5" ht="12.75">
      <c r="C28" s="4"/>
      <c r="D28" s="4"/>
      <c r="E28" s="4"/>
    </row>
    <row r="29" spans="3:5" ht="12.75">
      <c r="C29" s="3"/>
      <c r="D29" s="3"/>
      <c r="E29" s="3"/>
    </row>
    <row r="30" spans="3:5" ht="12.75">
      <c r="C30" s="3"/>
      <c r="D30" s="3"/>
      <c r="E30" s="3"/>
    </row>
    <row r="35" ht="12.75">
      <c r="E35" t="s">
        <v>264</v>
      </c>
    </row>
    <row r="38" ht="12.75">
      <c r="F38" s="4"/>
    </row>
    <row r="39" ht="12.75">
      <c r="F39" s="3"/>
    </row>
    <row r="40" ht="12.75">
      <c r="F40" s="3"/>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7"/>
  <dimension ref="A1:AD256"/>
  <sheetViews>
    <sheetView workbookViewId="0" topLeftCell="H1">
      <selection activeCell="P152" sqref="P152"/>
    </sheetView>
  </sheetViews>
  <sheetFormatPr defaultColWidth="9.140625" defaultRowHeight="12.75"/>
  <cols>
    <col min="1" max="1" width="10.140625" style="4" customWidth="1"/>
    <col min="2" max="2" width="18.7109375" style="4" customWidth="1"/>
    <col min="3" max="3" width="19.57421875" style="4" customWidth="1"/>
    <col min="4" max="4" width="14.140625" style="4" customWidth="1"/>
    <col min="5" max="5" width="16.57421875" style="4" customWidth="1"/>
    <col min="6" max="6" width="14.8515625" style="8" customWidth="1"/>
    <col min="7" max="7" width="15.140625" style="2" customWidth="1"/>
    <col min="8" max="8" width="12.7109375" style="4" customWidth="1"/>
    <col min="9" max="9" width="27.57421875" style="8" customWidth="1"/>
    <col min="10" max="10" width="16.140625" style="4" customWidth="1"/>
    <col min="11" max="11" width="15.57421875" style="4" customWidth="1"/>
    <col min="12" max="12" width="14.57421875" style="4" customWidth="1"/>
    <col min="13" max="13" width="14.00390625" style="13" customWidth="1"/>
    <col min="14" max="15" width="9.140625" style="1" customWidth="1"/>
    <col min="16" max="16" width="15.28125" style="1" customWidth="1"/>
    <col min="17" max="17" width="14.8515625" style="1" customWidth="1"/>
    <col min="18" max="18" width="17.7109375" style="4" customWidth="1"/>
    <col min="19" max="19" width="22.7109375" style="16" customWidth="1"/>
    <col min="20" max="20" width="16.140625" style="35" customWidth="1"/>
    <col min="21" max="21" width="20.7109375" style="35" customWidth="1"/>
    <col min="22" max="22" width="19.421875" style="35" customWidth="1"/>
    <col min="23" max="23" width="18.00390625" style="4" customWidth="1"/>
    <col min="24" max="24" width="23.28125" style="4" customWidth="1"/>
    <col min="25" max="25" width="9.140625" style="4" customWidth="1"/>
    <col min="26" max="26" width="9.140625" style="8" customWidth="1"/>
    <col min="27" max="27" width="9.140625" style="4" customWidth="1"/>
    <col min="28" max="28" width="11.57421875" style="4" bestFit="1" customWidth="1"/>
    <col min="29" max="29" width="9.140625" style="4" customWidth="1"/>
    <col min="30" max="30" width="14.57421875" style="4" customWidth="1"/>
    <col min="31" max="16384" width="9.140625" style="4" customWidth="1"/>
  </cols>
  <sheetData>
    <row r="1" spans="1:28" ht="90.75">
      <c r="A1" s="5" t="s">
        <v>0</v>
      </c>
      <c r="B1" s="5" t="s">
        <v>29</v>
      </c>
      <c r="C1" s="5" t="s">
        <v>12</v>
      </c>
      <c r="D1" s="5" t="s">
        <v>13</v>
      </c>
      <c r="E1" s="11" t="s">
        <v>38</v>
      </c>
      <c r="F1" s="7" t="s">
        <v>26</v>
      </c>
      <c r="G1" s="7" t="s">
        <v>37</v>
      </c>
      <c r="H1" s="6" t="s">
        <v>27</v>
      </c>
      <c r="I1" s="6" t="s">
        <v>28</v>
      </c>
      <c r="J1" s="9" t="s">
        <v>33</v>
      </c>
      <c r="K1" s="9" t="s">
        <v>34</v>
      </c>
      <c r="L1" s="6" t="s">
        <v>262</v>
      </c>
      <c r="M1" s="36" t="s">
        <v>263</v>
      </c>
      <c r="N1" s="10" t="s">
        <v>35</v>
      </c>
      <c r="O1" s="10" t="s">
        <v>36</v>
      </c>
      <c r="P1" s="219" t="s">
        <v>188</v>
      </c>
      <c r="Q1" s="219" t="s">
        <v>189</v>
      </c>
      <c r="R1" s="12" t="s">
        <v>72</v>
      </c>
      <c r="S1" s="20" t="s">
        <v>73</v>
      </c>
      <c r="T1" s="210" t="s">
        <v>74</v>
      </c>
      <c r="U1" s="210" t="s">
        <v>83</v>
      </c>
      <c r="V1" s="210" t="s">
        <v>84</v>
      </c>
      <c r="W1" s="12" t="s">
        <v>85</v>
      </c>
      <c r="X1" s="12" t="s">
        <v>86</v>
      </c>
      <c r="Y1" s="12" t="s">
        <v>87</v>
      </c>
      <c r="Z1" s="237" t="s">
        <v>88</v>
      </c>
      <c r="AB1" s="4" t="s">
        <v>250</v>
      </c>
    </row>
    <row r="2" spans="1:28" ht="12.75">
      <c r="A2" s="46">
        <v>50</v>
      </c>
      <c r="B2" s="42" t="s">
        <v>31</v>
      </c>
      <c r="C2" s="46" t="s">
        <v>22</v>
      </c>
      <c r="D2" s="46">
        <f>720*480</f>
        <v>345600</v>
      </c>
      <c r="E2" s="73">
        <f aca="true" t="shared" si="0" ref="E2:E33">D2/10^6</f>
        <v>0.3456</v>
      </c>
      <c r="F2" s="74">
        <v>6.5</v>
      </c>
      <c r="G2" s="43">
        <v>18.761237522475042</v>
      </c>
      <c r="H2" s="46">
        <v>273.8</v>
      </c>
      <c r="I2" s="74">
        <v>273.8</v>
      </c>
      <c r="J2" s="75">
        <v>8.3</v>
      </c>
      <c r="K2" s="75">
        <v>8.3</v>
      </c>
      <c r="L2" s="352">
        <f>VLOOKUP($A2,'Master Data'!$A$3:$AP$151,42,1)</f>
        <v>175</v>
      </c>
      <c r="M2" s="353">
        <f>VLOOKUP($A2,'Master Data'!$A$3:$AP$151,41,1)</f>
        <v>8.3</v>
      </c>
      <c r="N2" s="75">
        <v>4.73</v>
      </c>
      <c r="O2" s="75">
        <v>3.36</v>
      </c>
      <c r="P2" s="298">
        <v>2</v>
      </c>
      <c r="Q2" s="298">
        <v>1</v>
      </c>
      <c r="R2" s="44">
        <f>IF(E2&lt;1.1,'Proposed Spec Lines'!D$3+'Proposed Spec Lines'!D$4*'Spec Analysis_ScreenSize'!E2+'Proposed Spec Lines'!D$5*'Spec Analysis_ScreenSize'!G2,'Proposed Spec Lines'!C$3+'Proposed Spec Lines'!C$4*'Spec Analysis_ScreenSize'!E2+'Proposed Spec Lines'!C$5*'Spec Analysis_ScreenSize'!G2)</f>
        <v>6.011661876123752</v>
      </c>
      <c r="S2" s="45">
        <f aca="true" t="shared" si="1" ref="S2:S33">IF(R2&gt;=M2,1,0)</f>
        <v>0</v>
      </c>
      <c r="T2" s="45">
        <f aca="true" t="shared" si="2" ref="T2:T10">IF(R2&gt;=M2,IF(N2&lt;=P2,IF(O2&lt;=Q2,1,0),0),0)</f>
        <v>0</v>
      </c>
      <c r="U2" s="212">
        <f>M2</f>
        <v>8.3</v>
      </c>
      <c r="V2" s="212">
        <f>IF(M2&lt;=R2,M2,R2)</f>
        <v>6.011661876123752</v>
      </c>
      <c r="W2" s="13">
        <f>N2</f>
        <v>4.73</v>
      </c>
      <c r="X2" s="13">
        <f>IF(W2&lt;=2,W2,2)</f>
        <v>2</v>
      </c>
      <c r="Y2" s="13">
        <f>O2</f>
        <v>3.36</v>
      </c>
      <c r="Z2" s="13">
        <f>IF(Y2&lt;=1,Y2,1)</f>
        <v>1</v>
      </c>
      <c r="AB2" s="240">
        <f>175/I2</f>
        <v>0.6391526661796931</v>
      </c>
    </row>
    <row r="3" spans="1:28" ht="12.75">
      <c r="A3" s="42">
        <v>51</v>
      </c>
      <c r="B3" s="42" t="s">
        <v>31</v>
      </c>
      <c r="C3" s="46" t="s">
        <v>21</v>
      </c>
      <c r="D3" s="46">
        <f>480*234</f>
        <v>112320</v>
      </c>
      <c r="E3" s="73">
        <f t="shared" si="0"/>
        <v>0.11232</v>
      </c>
      <c r="F3" s="74">
        <v>7</v>
      </c>
      <c r="G3" s="43">
        <v>20.394940789881577</v>
      </c>
      <c r="H3" s="46">
        <v>177.1</v>
      </c>
      <c r="I3" s="74">
        <v>177.1</v>
      </c>
      <c r="J3" s="75">
        <v>4.38</v>
      </c>
      <c r="K3" s="75">
        <v>4.38</v>
      </c>
      <c r="L3" s="352">
        <f>VLOOKUP($A3,'Master Data'!$A$3:$AP$151,42,1)</f>
        <v>177.1</v>
      </c>
      <c r="M3" s="353">
        <f>VLOOKUP($A3,'Master Data'!$A$3:$AP$151,41,1)</f>
        <v>4.38</v>
      </c>
      <c r="N3" s="75">
        <v>2.47</v>
      </c>
      <c r="O3" s="75">
        <v>0.13</v>
      </c>
      <c r="P3" s="298">
        <v>2</v>
      </c>
      <c r="Q3" s="298">
        <v>1</v>
      </c>
      <c r="R3" s="44">
        <f>IF(E3&lt;1.1,'Proposed Spec Lines'!D$3+'Proposed Spec Lines'!D$4*'Spec Analysis_ScreenSize'!E3+'Proposed Spec Lines'!D$5*'Spec Analysis_ScreenSize'!G3,'Proposed Spec Lines'!C$3+'Proposed Spec Lines'!C$4*'Spec Analysis_ScreenSize'!E3+'Proposed Spec Lines'!C$5*'Spec Analysis_ScreenSize'!G3)</f>
        <v>4.693667039494079</v>
      </c>
      <c r="S3" s="45">
        <f t="shared" si="1"/>
        <v>1</v>
      </c>
      <c r="T3" s="45">
        <f t="shared" si="2"/>
        <v>0</v>
      </c>
      <c r="U3" s="212">
        <f aca="true" t="shared" si="3" ref="U3:U66">M3</f>
        <v>4.38</v>
      </c>
      <c r="V3" s="212">
        <f aca="true" t="shared" si="4" ref="V3:V66">IF(M3&lt;=R3,M3,R3)</f>
        <v>4.38</v>
      </c>
      <c r="W3" s="13">
        <f aca="true" t="shared" si="5" ref="W3:W66">N3</f>
        <v>2.47</v>
      </c>
      <c r="X3" s="13">
        <f aca="true" t="shared" si="6" ref="X3:X66">IF(W3&lt;=2,W3,2)</f>
        <v>2</v>
      </c>
      <c r="Y3" s="13">
        <f aca="true" t="shared" si="7" ref="Y3:Y66">O3</f>
        <v>0.13</v>
      </c>
      <c r="Z3" s="13">
        <f aca="true" t="shared" si="8" ref="Z3:Z66">IF(Y3&lt;=1,Y3,1)</f>
        <v>0.13</v>
      </c>
      <c r="AB3" s="240">
        <f aca="true" t="shared" si="9" ref="AB3:AB23">175/I3</f>
        <v>0.9881422924901186</v>
      </c>
    </row>
    <row r="4" spans="1:28" ht="12.75">
      <c r="A4" s="47">
        <v>52</v>
      </c>
      <c r="B4" s="42" t="s">
        <v>31</v>
      </c>
      <c r="C4" s="46" t="s">
        <v>21</v>
      </c>
      <c r="D4" s="46">
        <f>480*234</f>
        <v>112320</v>
      </c>
      <c r="E4" s="73">
        <f t="shared" si="0"/>
        <v>0.11232</v>
      </c>
      <c r="F4" s="74">
        <v>7</v>
      </c>
      <c r="G4" s="43">
        <v>21.005642011284024</v>
      </c>
      <c r="H4" s="46">
        <v>201.8</v>
      </c>
      <c r="I4" s="74">
        <v>203.5</v>
      </c>
      <c r="J4" s="75">
        <v>5.6</v>
      </c>
      <c r="K4" s="75">
        <v>5.6</v>
      </c>
      <c r="L4" s="352">
        <f>VLOOKUP($A4,'Master Data'!$A$3:$AP$151,42,1)</f>
        <v>175</v>
      </c>
      <c r="M4" s="353">
        <f>VLOOKUP($A4,'Master Data'!$A$3:$AP$151,41,1)</f>
        <v>5.6</v>
      </c>
      <c r="N4" s="75">
        <v>0.44</v>
      </c>
      <c r="O4" s="75">
        <v>0.34</v>
      </c>
      <c r="P4" s="298">
        <v>2</v>
      </c>
      <c r="Q4" s="298">
        <v>1</v>
      </c>
      <c r="R4" s="44">
        <f>IF(E4&lt;1.1,'Proposed Spec Lines'!D$3+'Proposed Spec Lines'!D$4*'Spec Analysis_ScreenSize'!E4+'Proposed Spec Lines'!D$5*'Spec Analysis_ScreenSize'!G4,'Proposed Spec Lines'!C$3+'Proposed Spec Lines'!C$4*'Spec Analysis_ScreenSize'!E4+'Proposed Spec Lines'!C$5*'Spec Analysis_ScreenSize'!G4)</f>
        <v>4.724202100564201</v>
      </c>
      <c r="S4" s="45">
        <f t="shared" si="1"/>
        <v>0</v>
      </c>
      <c r="T4" s="45">
        <f t="shared" si="2"/>
        <v>0</v>
      </c>
      <c r="U4" s="212">
        <f t="shared" si="3"/>
        <v>5.6</v>
      </c>
      <c r="V4" s="212">
        <f t="shared" si="4"/>
        <v>4.724202100564201</v>
      </c>
      <c r="W4" s="13">
        <f t="shared" si="5"/>
        <v>0.44</v>
      </c>
      <c r="X4" s="13">
        <f t="shared" si="6"/>
        <v>0.44</v>
      </c>
      <c r="Y4" s="13">
        <f t="shared" si="7"/>
        <v>0.34</v>
      </c>
      <c r="Z4" s="13">
        <f t="shared" si="8"/>
        <v>0.34</v>
      </c>
      <c r="AB4" s="240">
        <f t="shared" si="9"/>
        <v>0.85995085995086</v>
      </c>
    </row>
    <row r="5" spans="1:28" ht="12.75">
      <c r="A5" s="46">
        <v>53</v>
      </c>
      <c r="B5" s="42" t="s">
        <v>31</v>
      </c>
      <c r="C5" s="46" t="s">
        <v>21</v>
      </c>
      <c r="D5" s="46">
        <f>480*234</f>
        <v>112320</v>
      </c>
      <c r="E5" s="73">
        <f t="shared" si="0"/>
        <v>0.11232</v>
      </c>
      <c r="F5" s="74">
        <v>7</v>
      </c>
      <c r="G5" s="43">
        <v>19.92063984127968</v>
      </c>
      <c r="H5" s="46">
        <v>310.3</v>
      </c>
      <c r="I5" s="74">
        <v>310.3</v>
      </c>
      <c r="J5" s="75">
        <v>6.43</v>
      </c>
      <c r="K5" s="75">
        <v>6.43</v>
      </c>
      <c r="L5" s="352">
        <f>VLOOKUP($A5,'Master Data'!$A$3:$AP$151,42,1)</f>
        <v>175</v>
      </c>
      <c r="M5" s="353">
        <f>VLOOKUP($A5,'Master Data'!$A$3:$AP$151,41,1)</f>
        <v>6.43</v>
      </c>
      <c r="N5" s="75">
        <v>1.68</v>
      </c>
      <c r="O5" s="75">
        <v>0.18</v>
      </c>
      <c r="P5" s="298">
        <v>2</v>
      </c>
      <c r="Q5" s="298">
        <v>1</v>
      </c>
      <c r="R5" s="44">
        <f>IF(E5&lt;1.1,'Proposed Spec Lines'!D$3+'Proposed Spec Lines'!D$4*'Spec Analysis_ScreenSize'!E5+'Proposed Spec Lines'!D$5*'Spec Analysis_ScreenSize'!G5,'Proposed Spec Lines'!C$3+'Proposed Spec Lines'!C$4*'Spec Analysis_ScreenSize'!E5+'Proposed Spec Lines'!C$5*'Spec Analysis_ScreenSize'!G5)</f>
        <v>4.669951992063984</v>
      </c>
      <c r="S5" s="45">
        <f t="shared" si="1"/>
        <v>0</v>
      </c>
      <c r="T5" s="45">
        <f t="shared" si="2"/>
        <v>0</v>
      </c>
      <c r="U5" s="212">
        <f t="shared" si="3"/>
        <v>6.43</v>
      </c>
      <c r="V5" s="212">
        <f t="shared" si="4"/>
        <v>4.669951992063984</v>
      </c>
      <c r="W5" s="13">
        <f t="shared" si="5"/>
        <v>1.68</v>
      </c>
      <c r="X5" s="13">
        <f t="shared" si="6"/>
        <v>1.68</v>
      </c>
      <c r="Y5" s="13">
        <f t="shared" si="7"/>
        <v>0.18</v>
      </c>
      <c r="Z5" s="13">
        <f t="shared" si="8"/>
        <v>0.18</v>
      </c>
      <c r="AB5" s="240">
        <f t="shared" si="9"/>
        <v>0.5639703512729616</v>
      </c>
    </row>
    <row r="6" spans="1:28" ht="12.75">
      <c r="A6" s="46">
        <v>54</v>
      </c>
      <c r="B6" s="42" t="s">
        <v>31</v>
      </c>
      <c r="C6" s="46" t="s">
        <v>19</v>
      </c>
      <c r="D6" s="46">
        <f>800*480</f>
        <v>384000</v>
      </c>
      <c r="E6" s="73">
        <f t="shared" si="0"/>
        <v>0.384</v>
      </c>
      <c r="F6" s="74">
        <v>7</v>
      </c>
      <c r="G6" s="43">
        <v>20.9250418500837</v>
      </c>
      <c r="H6" s="46">
        <v>261.4</v>
      </c>
      <c r="I6" s="74">
        <v>399.7</v>
      </c>
      <c r="J6" s="75">
        <v>7.67</v>
      </c>
      <c r="K6" s="75">
        <v>9.42</v>
      </c>
      <c r="L6" s="352">
        <f>VLOOKUP($A6,'Master Data'!$A$3:$AP$151,42,1)</f>
        <v>175</v>
      </c>
      <c r="M6" s="353">
        <f>VLOOKUP($A6,'Master Data'!$A$3:$AP$151,41,1)</f>
        <v>6.491637326454329</v>
      </c>
      <c r="N6" s="75">
        <v>3.73</v>
      </c>
      <c r="O6" s="75">
        <v>0.46</v>
      </c>
      <c r="P6" s="298">
        <v>2</v>
      </c>
      <c r="Q6" s="298">
        <v>1</v>
      </c>
      <c r="R6" s="44">
        <f>IF(E6&lt;1.1,'Proposed Spec Lines'!D$3+'Proposed Spec Lines'!D$4*'Spec Analysis_ScreenSize'!E6+'Proposed Spec Lines'!D$5*'Spec Analysis_ScreenSize'!G6,'Proposed Spec Lines'!C$3+'Proposed Spec Lines'!C$4*'Spec Analysis_ScreenSize'!E6+'Proposed Spec Lines'!C$5*'Spec Analysis_ScreenSize'!G6)</f>
        <v>6.350252092504185</v>
      </c>
      <c r="S6" s="45">
        <f t="shared" si="1"/>
        <v>0</v>
      </c>
      <c r="T6" s="45">
        <f t="shared" si="2"/>
        <v>0</v>
      </c>
      <c r="U6" s="212">
        <f t="shared" si="3"/>
        <v>6.491637326454329</v>
      </c>
      <c r="V6" s="212">
        <f t="shared" si="4"/>
        <v>6.350252092504185</v>
      </c>
      <c r="W6" s="13">
        <f t="shared" si="5"/>
        <v>3.73</v>
      </c>
      <c r="X6" s="13">
        <f t="shared" si="6"/>
        <v>2</v>
      </c>
      <c r="Y6" s="13">
        <f t="shared" si="7"/>
        <v>0.46</v>
      </c>
      <c r="Z6" s="13">
        <f t="shared" si="8"/>
        <v>0.46</v>
      </c>
      <c r="AB6" s="240">
        <f t="shared" si="9"/>
        <v>0.43782837127845886</v>
      </c>
    </row>
    <row r="7" spans="1:28" ht="12.75">
      <c r="A7" s="46">
        <v>76</v>
      </c>
      <c r="B7" s="42" t="s">
        <v>31</v>
      </c>
      <c r="C7" s="48" t="s">
        <v>19</v>
      </c>
      <c r="D7" s="48">
        <f>800*480</f>
        <v>384000</v>
      </c>
      <c r="E7" s="73">
        <f t="shared" si="0"/>
        <v>0.384</v>
      </c>
      <c r="F7" s="49">
        <v>7</v>
      </c>
      <c r="G7" s="43">
        <v>37.22255192878338</v>
      </c>
      <c r="H7" s="48">
        <v>175</v>
      </c>
      <c r="I7" s="49">
        <v>176</v>
      </c>
      <c r="J7" s="50">
        <v>10.9</v>
      </c>
      <c r="K7" s="50">
        <v>10.9</v>
      </c>
      <c r="L7" s="352">
        <f>VLOOKUP($A7,'Master Data'!$A$3:$AP$151,42,1)</f>
        <v>175</v>
      </c>
      <c r="M7" s="353">
        <f>VLOOKUP($A7,'Master Data'!$A$3:$AP$151,41,1)</f>
        <v>10.9</v>
      </c>
      <c r="N7" s="380"/>
      <c r="O7" s="50">
        <v>0.32</v>
      </c>
      <c r="P7" s="298">
        <v>2</v>
      </c>
      <c r="Q7" s="298">
        <v>1</v>
      </c>
      <c r="R7" s="44">
        <f>IF(E7&lt;1.1,'Proposed Spec Lines'!D$3+'Proposed Spec Lines'!D$4*'Spec Analysis_ScreenSize'!E7+'Proposed Spec Lines'!D$5*'Spec Analysis_ScreenSize'!G7,'Proposed Spec Lines'!C$3+'Proposed Spec Lines'!C$4*'Spec Analysis_ScreenSize'!E7+'Proposed Spec Lines'!C$5*'Spec Analysis_ScreenSize'!G7)</f>
        <v>7.165127596439169</v>
      </c>
      <c r="S7" s="45">
        <f t="shared" si="1"/>
        <v>0</v>
      </c>
      <c r="T7" s="45">
        <f t="shared" si="2"/>
        <v>0</v>
      </c>
      <c r="U7" s="212">
        <f t="shared" si="3"/>
        <v>10.9</v>
      </c>
      <c r="V7" s="212">
        <f t="shared" si="4"/>
        <v>7.165127596439169</v>
      </c>
      <c r="W7" s="13">
        <f t="shared" si="5"/>
        <v>0</v>
      </c>
      <c r="X7" s="13">
        <f t="shared" si="6"/>
        <v>0</v>
      </c>
      <c r="Y7" s="13">
        <f t="shared" si="7"/>
        <v>0.32</v>
      </c>
      <c r="Z7" s="13">
        <f t="shared" si="8"/>
        <v>0.32</v>
      </c>
      <c r="AB7" s="240">
        <f t="shared" si="9"/>
        <v>0.9943181818181818</v>
      </c>
    </row>
    <row r="8" spans="1:28" ht="12.75">
      <c r="A8" s="47">
        <v>80</v>
      </c>
      <c r="B8" s="42" t="s">
        <v>31</v>
      </c>
      <c r="C8" s="46" t="s">
        <v>19</v>
      </c>
      <c r="D8" s="46">
        <f>800*480</f>
        <v>384000</v>
      </c>
      <c r="E8" s="73">
        <f t="shared" si="0"/>
        <v>0.384</v>
      </c>
      <c r="F8" s="74">
        <v>7</v>
      </c>
      <c r="G8" s="43">
        <v>22.292144584289165</v>
      </c>
      <c r="H8" s="46">
        <v>198.8</v>
      </c>
      <c r="I8" s="74">
        <v>156.2</v>
      </c>
      <c r="J8" s="75">
        <v>8.46</v>
      </c>
      <c r="K8" s="75">
        <v>8.02</v>
      </c>
      <c r="L8" s="352">
        <f>VLOOKUP($A8,'Master Data'!$A$3:$AP$151,42,1)</f>
        <v>198.8</v>
      </c>
      <c r="M8" s="353">
        <f>VLOOKUP($A8,'Master Data'!$A$3:$AP$151,41,1)</f>
        <v>8.46</v>
      </c>
      <c r="N8" s="381"/>
      <c r="O8" s="75">
        <v>0.16</v>
      </c>
      <c r="P8" s="298">
        <v>2</v>
      </c>
      <c r="Q8" s="298">
        <v>1</v>
      </c>
      <c r="R8" s="44">
        <f>IF(E8&lt;1.1,'Proposed Spec Lines'!D$3+'Proposed Spec Lines'!D$4*'Spec Analysis_ScreenSize'!E8+'Proposed Spec Lines'!D$5*'Spec Analysis_ScreenSize'!G8,'Proposed Spec Lines'!C$3+'Proposed Spec Lines'!C$4*'Spec Analysis_ScreenSize'!E8+'Proposed Spec Lines'!C$5*'Spec Analysis_ScreenSize'!G8)</f>
        <v>6.418607229214459</v>
      </c>
      <c r="S8" s="45">
        <f t="shared" si="1"/>
        <v>0</v>
      </c>
      <c r="T8" s="45">
        <f t="shared" si="2"/>
        <v>0</v>
      </c>
      <c r="U8" s="212">
        <f t="shared" si="3"/>
        <v>8.46</v>
      </c>
      <c r="V8" s="212">
        <f t="shared" si="4"/>
        <v>6.418607229214459</v>
      </c>
      <c r="W8" s="13">
        <f t="shared" si="5"/>
        <v>0</v>
      </c>
      <c r="X8" s="13">
        <f t="shared" si="6"/>
        <v>0</v>
      </c>
      <c r="Y8" s="13">
        <f t="shared" si="7"/>
        <v>0.16</v>
      </c>
      <c r="Z8" s="13">
        <f t="shared" si="8"/>
        <v>0.16</v>
      </c>
      <c r="AB8" s="240">
        <f t="shared" si="9"/>
        <v>1.120358514724712</v>
      </c>
    </row>
    <row r="9" spans="1:28" ht="12.75">
      <c r="A9" s="46">
        <v>81</v>
      </c>
      <c r="B9" s="42" t="s">
        <v>31</v>
      </c>
      <c r="C9" s="48" t="s">
        <v>20</v>
      </c>
      <c r="D9" s="48">
        <f>800*600</f>
        <v>480000</v>
      </c>
      <c r="E9" s="73">
        <f t="shared" si="0"/>
        <v>0.48</v>
      </c>
      <c r="F9" s="49">
        <v>8</v>
      </c>
      <c r="G9" s="43">
        <v>48.61721068249258</v>
      </c>
      <c r="H9" s="48">
        <v>175</v>
      </c>
      <c r="I9" s="49">
        <v>180</v>
      </c>
      <c r="J9" s="50">
        <v>7.5</v>
      </c>
      <c r="K9" s="50">
        <v>7.5</v>
      </c>
      <c r="L9" s="352">
        <f>VLOOKUP($A9,'Master Data'!$A$3:$AP$151,42,1)</f>
        <v>175</v>
      </c>
      <c r="M9" s="353">
        <f>VLOOKUP($A9,'Master Data'!$A$3:$AP$151,41,1)</f>
        <v>7.5</v>
      </c>
      <c r="N9" s="380"/>
      <c r="O9" s="50">
        <v>0.16</v>
      </c>
      <c r="P9" s="298">
        <v>2</v>
      </c>
      <c r="Q9" s="298">
        <v>1</v>
      </c>
      <c r="R9" s="44">
        <f>IF(E9&lt;1.1,'Proposed Spec Lines'!D$3+'Proposed Spec Lines'!D$4*'Spec Analysis_ScreenSize'!E9+'Proposed Spec Lines'!D$5*'Spec Analysis_ScreenSize'!G9,'Proposed Spec Lines'!C$3+'Proposed Spec Lines'!C$4*'Spec Analysis_ScreenSize'!E9+'Proposed Spec Lines'!C$5*'Spec Analysis_ScreenSize'!G9)</f>
        <v>8.310860534124629</v>
      </c>
      <c r="S9" s="45">
        <f t="shared" si="1"/>
        <v>1</v>
      </c>
      <c r="T9" s="45">
        <f t="shared" si="2"/>
        <v>1</v>
      </c>
      <c r="U9" s="212">
        <f t="shared" si="3"/>
        <v>7.5</v>
      </c>
      <c r="V9" s="212">
        <f t="shared" si="4"/>
        <v>7.5</v>
      </c>
      <c r="W9" s="13">
        <f t="shared" si="5"/>
        <v>0</v>
      </c>
      <c r="X9" s="13">
        <f t="shared" si="6"/>
        <v>0</v>
      </c>
      <c r="Y9" s="13">
        <f t="shared" si="7"/>
        <v>0.16</v>
      </c>
      <c r="Z9" s="13">
        <f t="shared" si="8"/>
        <v>0.16</v>
      </c>
      <c r="AB9" s="240">
        <f t="shared" si="9"/>
        <v>0.9722222222222222</v>
      </c>
    </row>
    <row r="10" spans="1:28" ht="12.75">
      <c r="A10" s="46">
        <v>82</v>
      </c>
      <c r="B10" s="42" t="s">
        <v>31</v>
      </c>
      <c r="C10" s="48" t="s">
        <v>20</v>
      </c>
      <c r="D10" s="48">
        <f>800*600</f>
        <v>480000</v>
      </c>
      <c r="E10" s="73">
        <f t="shared" si="0"/>
        <v>0.48</v>
      </c>
      <c r="F10" s="49">
        <v>8</v>
      </c>
      <c r="G10" s="43">
        <v>48.61721068249258</v>
      </c>
      <c r="H10" s="48">
        <v>175</v>
      </c>
      <c r="I10" s="49">
        <v>180</v>
      </c>
      <c r="J10" s="50">
        <v>8.6</v>
      </c>
      <c r="K10" s="50">
        <v>8.6</v>
      </c>
      <c r="L10" s="352">
        <f>VLOOKUP($A10,'Master Data'!$A$3:$AP$151,42,1)</f>
        <v>175</v>
      </c>
      <c r="M10" s="353">
        <f>VLOOKUP($A10,'Master Data'!$A$3:$AP$151,41,1)</f>
        <v>8.6</v>
      </c>
      <c r="N10" s="380"/>
      <c r="O10" s="50">
        <v>0.31</v>
      </c>
      <c r="P10" s="298">
        <v>2</v>
      </c>
      <c r="Q10" s="298">
        <v>1</v>
      </c>
      <c r="R10" s="44">
        <f>IF(E10&lt;1.1,'Proposed Spec Lines'!D$3+'Proposed Spec Lines'!D$4*'Spec Analysis_ScreenSize'!E10+'Proposed Spec Lines'!D$5*'Spec Analysis_ScreenSize'!G10,'Proposed Spec Lines'!C$3+'Proposed Spec Lines'!C$4*'Spec Analysis_ScreenSize'!E10+'Proposed Spec Lines'!C$5*'Spec Analysis_ScreenSize'!G10)</f>
        <v>8.310860534124629</v>
      </c>
      <c r="S10" s="45">
        <f t="shared" si="1"/>
        <v>0</v>
      </c>
      <c r="T10" s="45">
        <f t="shared" si="2"/>
        <v>0</v>
      </c>
      <c r="U10" s="212">
        <f t="shared" si="3"/>
        <v>8.6</v>
      </c>
      <c r="V10" s="212">
        <f t="shared" si="4"/>
        <v>8.310860534124629</v>
      </c>
      <c r="W10" s="13">
        <f t="shared" si="5"/>
        <v>0</v>
      </c>
      <c r="X10" s="13">
        <f t="shared" si="6"/>
        <v>0</v>
      </c>
      <c r="Y10" s="13">
        <f t="shared" si="7"/>
        <v>0.31</v>
      </c>
      <c r="Z10" s="13">
        <f t="shared" si="8"/>
        <v>0.31</v>
      </c>
      <c r="AB10" s="240">
        <f t="shared" si="9"/>
        <v>0.9722222222222222</v>
      </c>
    </row>
    <row r="11" spans="1:28" ht="12.75">
      <c r="A11" s="76">
        <v>4</v>
      </c>
      <c r="B11" s="76" t="s">
        <v>30</v>
      </c>
      <c r="C11" s="77" t="s">
        <v>14</v>
      </c>
      <c r="D11" s="77">
        <f aca="true" t="shared" si="10" ref="D11:D18">1024*768</f>
        <v>786432</v>
      </c>
      <c r="E11" s="78">
        <f t="shared" si="0"/>
        <v>0.786432</v>
      </c>
      <c r="F11" s="79">
        <v>15</v>
      </c>
      <c r="G11" s="80">
        <v>108</v>
      </c>
      <c r="H11" s="81">
        <v>175</v>
      </c>
      <c r="I11" s="81">
        <v>150</v>
      </c>
      <c r="J11" s="82">
        <v>17.61</v>
      </c>
      <c r="K11" s="82">
        <v>17.59</v>
      </c>
      <c r="L11" s="396">
        <f>VLOOKUP($A11,'Master Data'!$A$3:$AP$151,42,1)</f>
        <v>140.25</v>
      </c>
      <c r="M11" s="397">
        <f>VLOOKUP($A11,'Master Data'!$A$3:$AP$151,41,1)</f>
        <v>17.598000000000003</v>
      </c>
      <c r="N11" s="82">
        <v>0.87</v>
      </c>
      <c r="O11" s="82">
        <v>0.82</v>
      </c>
      <c r="P11" s="302">
        <v>2</v>
      </c>
      <c r="Q11" s="302">
        <v>1</v>
      </c>
      <c r="R11" s="83">
        <f>IF(E11&lt;1.1,'Proposed Spec Lines'!D$3+'Proposed Spec Lines'!D$4*'Spec Analysis_ScreenSize'!E11+'Proposed Spec Lines'!D$5*'Spec Analysis_ScreenSize'!G11,'Proposed Spec Lines'!C$3+'Proposed Spec Lines'!C$4*'Spec Analysis_ScreenSize'!E11+'Proposed Spec Lines'!C$5*'Spec Analysis_ScreenSize'!G11)</f>
        <v>13.118592</v>
      </c>
      <c r="S11" s="84">
        <f t="shared" si="1"/>
        <v>0</v>
      </c>
      <c r="T11" s="84">
        <f aca="true" t="shared" si="11" ref="T11:T66">IF(R11&gt;=M11,IF(N11&lt;=P11,IF(O11&lt;=Q11,1,0),0),0)</f>
        <v>0</v>
      </c>
      <c r="U11" s="212">
        <f t="shared" si="3"/>
        <v>17.598000000000003</v>
      </c>
      <c r="V11" s="212">
        <f t="shared" si="4"/>
        <v>13.118592</v>
      </c>
      <c r="W11" s="13">
        <f t="shared" si="5"/>
        <v>0.87</v>
      </c>
      <c r="X11" s="13">
        <f t="shared" si="6"/>
        <v>0.87</v>
      </c>
      <c r="Y11" s="13">
        <f t="shared" si="7"/>
        <v>0.82</v>
      </c>
      <c r="Z11" s="13">
        <f t="shared" si="8"/>
        <v>0.82</v>
      </c>
      <c r="AB11" s="240">
        <f t="shared" si="9"/>
        <v>1.1666666666666667</v>
      </c>
    </row>
    <row r="12" spans="1:28" ht="12.75">
      <c r="A12" s="85">
        <v>100</v>
      </c>
      <c r="B12" s="76" t="s">
        <v>30</v>
      </c>
      <c r="C12" s="86" t="s">
        <v>14</v>
      </c>
      <c r="D12" s="86">
        <f t="shared" si="10"/>
        <v>786432</v>
      </c>
      <c r="E12" s="78">
        <f t="shared" si="0"/>
        <v>0.786432</v>
      </c>
      <c r="F12" s="79">
        <v>15</v>
      </c>
      <c r="G12" s="80">
        <v>105.91</v>
      </c>
      <c r="H12" s="87">
        <v>175</v>
      </c>
      <c r="I12" s="87">
        <v>203.8</v>
      </c>
      <c r="J12" s="88">
        <v>16.1</v>
      </c>
      <c r="K12" s="88">
        <v>16.9</v>
      </c>
      <c r="L12" s="396">
        <f>VLOOKUP($A12,'Master Data'!$A$3:$AP$151,42,1)</f>
        <v>175</v>
      </c>
      <c r="M12" s="397">
        <f>VLOOKUP($A12,'Master Data'!$A$3:$AP$151,41,1)</f>
        <v>16.1</v>
      </c>
      <c r="N12" s="88">
        <v>0.68</v>
      </c>
      <c r="O12" s="88">
        <v>0.64</v>
      </c>
      <c r="P12" s="302">
        <v>2</v>
      </c>
      <c r="Q12" s="302">
        <v>1</v>
      </c>
      <c r="R12" s="83">
        <f>IF(E12&lt;1.1,'Proposed Spec Lines'!D$3+'Proposed Spec Lines'!D$4*'Spec Analysis_ScreenSize'!E12+'Proposed Spec Lines'!D$5*'Spec Analysis_ScreenSize'!G12,'Proposed Spec Lines'!C$3+'Proposed Spec Lines'!C$4*'Spec Analysis_ScreenSize'!E12+'Proposed Spec Lines'!C$5*'Spec Analysis_ScreenSize'!G12)</f>
        <v>13.014092000000002</v>
      </c>
      <c r="S12" s="84">
        <f t="shared" si="1"/>
        <v>0</v>
      </c>
      <c r="T12" s="84">
        <f t="shared" si="11"/>
        <v>0</v>
      </c>
      <c r="U12" s="212">
        <f t="shared" si="3"/>
        <v>16.1</v>
      </c>
      <c r="V12" s="212">
        <f t="shared" si="4"/>
        <v>13.014092000000002</v>
      </c>
      <c r="W12" s="13">
        <f t="shared" si="5"/>
        <v>0.68</v>
      </c>
      <c r="X12" s="13">
        <f t="shared" si="6"/>
        <v>0.68</v>
      </c>
      <c r="Y12" s="13">
        <f t="shared" si="7"/>
        <v>0.64</v>
      </c>
      <c r="Z12" s="13">
        <f t="shared" si="8"/>
        <v>0.64</v>
      </c>
      <c r="AB12" s="240">
        <f t="shared" si="9"/>
        <v>0.858684985279686</v>
      </c>
    </row>
    <row r="13" spans="1:28" ht="12.75">
      <c r="A13" s="76">
        <v>113</v>
      </c>
      <c r="B13" s="76" t="s">
        <v>30</v>
      </c>
      <c r="C13" s="89" t="s">
        <v>6</v>
      </c>
      <c r="D13" s="89">
        <f t="shared" si="10"/>
        <v>786432</v>
      </c>
      <c r="E13" s="78">
        <f t="shared" si="0"/>
        <v>0.786432</v>
      </c>
      <c r="F13" s="79">
        <v>15</v>
      </c>
      <c r="G13" s="80">
        <v>107.524304495009</v>
      </c>
      <c r="H13" s="90">
        <v>175</v>
      </c>
      <c r="I13" s="90">
        <v>132</v>
      </c>
      <c r="J13" s="91">
        <v>15.7</v>
      </c>
      <c r="K13" s="91">
        <v>12.1</v>
      </c>
      <c r="L13" s="396">
        <f>VLOOKUP($A13,'Master Data'!$A$3:$AP$151,42,1)</f>
        <v>175</v>
      </c>
      <c r="M13" s="397">
        <f>VLOOKUP($A13,'Master Data'!$A$3:$AP$151,41,1)</f>
        <v>15.7</v>
      </c>
      <c r="N13" s="91">
        <v>0.41</v>
      </c>
      <c r="O13" s="91">
        <v>0.37</v>
      </c>
      <c r="P13" s="302">
        <v>2</v>
      </c>
      <c r="Q13" s="302">
        <v>1</v>
      </c>
      <c r="R13" s="83">
        <f>IF(E13&lt;1.1,'Proposed Spec Lines'!D$3+'Proposed Spec Lines'!D$4*'Spec Analysis_ScreenSize'!E13+'Proposed Spec Lines'!D$5*'Spec Analysis_ScreenSize'!G13,'Proposed Spec Lines'!C$3+'Proposed Spec Lines'!C$4*'Spec Analysis_ScreenSize'!E13+'Proposed Spec Lines'!C$5*'Spec Analysis_ScreenSize'!G13)</f>
        <v>13.09480722475045</v>
      </c>
      <c r="S13" s="84">
        <f t="shared" si="1"/>
        <v>0</v>
      </c>
      <c r="T13" s="84">
        <f t="shared" si="11"/>
        <v>0</v>
      </c>
      <c r="U13" s="212">
        <f t="shared" si="3"/>
        <v>15.7</v>
      </c>
      <c r="V13" s="212">
        <f t="shared" si="4"/>
        <v>13.09480722475045</v>
      </c>
      <c r="W13" s="13">
        <f t="shared" si="5"/>
        <v>0.41</v>
      </c>
      <c r="X13" s="13">
        <f t="shared" si="6"/>
        <v>0.41</v>
      </c>
      <c r="Y13" s="13">
        <f t="shared" si="7"/>
        <v>0.37</v>
      </c>
      <c r="Z13" s="13">
        <f t="shared" si="8"/>
        <v>0.37</v>
      </c>
      <c r="AB13" s="240">
        <f t="shared" si="9"/>
        <v>1.3257575757575757</v>
      </c>
    </row>
    <row r="14" spans="1:28" ht="12.75">
      <c r="A14" s="76">
        <v>114</v>
      </c>
      <c r="B14" s="76" t="s">
        <v>30</v>
      </c>
      <c r="C14" s="89" t="s">
        <v>6</v>
      </c>
      <c r="D14" s="89">
        <f t="shared" si="10"/>
        <v>786432</v>
      </c>
      <c r="E14" s="78">
        <f t="shared" si="0"/>
        <v>0.786432</v>
      </c>
      <c r="F14" s="79">
        <v>15</v>
      </c>
      <c r="G14" s="80">
        <v>107.524304495009</v>
      </c>
      <c r="H14" s="90">
        <v>175</v>
      </c>
      <c r="I14" s="90">
        <v>147</v>
      </c>
      <c r="J14" s="91">
        <v>17.9</v>
      </c>
      <c r="K14" s="91">
        <v>15.8</v>
      </c>
      <c r="L14" s="396">
        <f>VLOOKUP($A14,'Master Data'!$A$3:$AP$151,42,1)</f>
        <v>175</v>
      </c>
      <c r="M14" s="397">
        <f>VLOOKUP($A14,'Master Data'!$A$3:$AP$151,41,1)</f>
        <v>17.9</v>
      </c>
      <c r="N14" s="91">
        <v>0.62</v>
      </c>
      <c r="O14" s="91">
        <v>0.55</v>
      </c>
      <c r="P14" s="302">
        <v>2</v>
      </c>
      <c r="Q14" s="302">
        <v>1</v>
      </c>
      <c r="R14" s="83">
        <f>IF(E14&lt;1.1,'Proposed Spec Lines'!D$3+'Proposed Spec Lines'!D$4*'Spec Analysis_ScreenSize'!E14+'Proposed Spec Lines'!D$5*'Spec Analysis_ScreenSize'!G14,'Proposed Spec Lines'!C$3+'Proposed Spec Lines'!C$4*'Spec Analysis_ScreenSize'!E14+'Proposed Spec Lines'!C$5*'Spec Analysis_ScreenSize'!G14)</f>
        <v>13.09480722475045</v>
      </c>
      <c r="S14" s="84">
        <f t="shared" si="1"/>
        <v>0</v>
      </c>
      <c r="T14" s="84">
        <f t="shared" si="11"/>
        <v>0</v>
      </c>
      <c r="U14" s="212">
        <f t="shared" si="3"/>
        <v>17.9</v>
      </c>
      <c r="V14" s="212">
        <f t="shared" si="4"/>
        <v>13.09480722475045</v>
      </c>
      <c r="W14" s="13">
        <f t="shared" si="5"/>
        <v>0.62</v>
      </c>
      <c r="X14" s="13">
        <f t="shared" si="6"/>
        <v>0.62</v>
      </c>
      <c r="Y14" s="13">
        <f t="shared" si="7"/>
        <v>0.55</v>
      </c>
      <c r="Z14" s="13">
        <f t="shared" si="8"/>
        <v>0.55</v>
      </c>
      <c r="AB14" s="240">
        <f t="shared" si="9"/>
        <v>1.1904761904761905</v>
      </c>
    </row>
    <row r="15" spans="1:28" ht="12.75">
      <c r="A15" s="76">
        <v>130</v>
      </c>
      <c r="B15" s="76" t="s">
        <v>30</v>
      </c>
      <c r="C15" s="92" t="s">
        <v>6</v>
      </c>
      <c r="D15" s="92">
        <f t="shared" si="10"/>
        <v>786432</v>
      </c>
      <c r="E15" s="78">
        <f t="shared" si="0"/>
        <v>0.786432</v>
      </c>
      <c r="F15" s="79">
        <v>15</v>
      </c>
      <c r="G15" s="80">
        <v>107.524304495009</v>
      </c>
      <c r="H15" s="93">
        <v>175</v>
      </c>
      <c r="I15" s="93">
        <v>132</v>
      </c>
      <c r="J15" s="94">
        <v>15.7</v>
      </c>
      <c r="K15" s="94">
        <v>16.8</v>
      </c>
      <c r="L15" s="396">
        <f>VLOOKUP($A15,'Master Data'!$A$3:$AP$151,42,1)</f>
        <v>161.4</v>
      </c>
      <c r="M15" s="397">
        <f>VLOOKUP($A15,'Master Data'!$A$3:$AP$151,41,1)</f>
        <v>14.600000000000001</v>
      </c>
      <c r="N15" s="94">
        <v>0.41</v>
      </c>
      <c r="O15" s="94">
        <v>0.37</v>
      </c>
      <c r="P15" s="302">
        <v>2</v>
      </c>
      <c r="Q15" s="302">
        <v>1</v>
      </c>
      <c r="R15" s="83">
        <f>IF(E15&lt;1.1,'Proposed Spec Lines'!D$3+'Proposed Spec Lines'!D$4*'Spec Analysis_ScreenSize'!E15+'Proposed Spec Lines'!D$5*'Spec Analysis_ScreenSize'!G15,'Proposed Spec Lines'!C$3+'Proposed Spec Lines'!C$4*'Spec Analysis_ScreenSize'!E15+'Proposed Spec Lines'!C$5*'Spec Analysis_ScreenSize'!G15)</f>
        <v>13.09480722475045</v>
      </c>
      <c r="S15" s="84">
        <f t="shared" si="1"/>
        <v>0</v>
      </c>
      <c r="T15" s="84">
        <f t="shared" si="11"/>
        <v>0</v>
      </c>
      <c r="U15" s="212">
        <f t="shared" si="3"/>
        <v>14.600000000000001</v>
      </c>
      <c r="V15" s="212">
        <f t="shared" si="4"/>
        <v>13.09480722475045</v>
      </c>
      <c r="W15" s="13">
        <f t="shared" si="5"/>
        <v>0.41</v>
      </c>
      <c r="X15" s="13">
        <f t="shared" si="6"/>
        <v>0.41</v>
      </c>
      <c r="Y15" s="13">
        <f t="shared" si="7"/>
        <v>0.37</v>
      </c>
      <c r="Z15" s="13">
        <f t="shared" si="8"/>
        <v>0.37</v>
      </c>
      <c r="AB15" s="240">
        <f t="shared" si="9"/>
        <v>1.3257575757575757</v>
      </c>
    </row>
    <row r="16" spans="1:28" ht="12.75">
      <c r="A16" s="95">
        <v>139</v>
      </c>
      <c r="B16" s="76" t="s">
        <v>30</v>
      </c>
      <c r="C16" s="92" t="s">
        <v>14</v>
      </c>
      <c r="D16" s="92">
        <f t="shared" si="10"/>
        <v>786432</v>
      </c>
      <c r="E16" s="78">
        <f t="shared" si="0"/>
        <v>0.786432</v>
      </c>
      <c r="F16" s="79">
        <v>15</v>
      </c>
      <c r="G16" s="80">
        <v>107.51157671275344</v>
      </c>
      <c r="H16" s="81">
        <v>175.6</v>
      </c>
      <c r="I16" s="81">
        <v>189.2</v>
      </c>
      <c r="J16" s="82">
        <v>15.7</v>
      </c>
      <c r="K16" s="82">
        <v>16.7</v>
      </c>
      <c r="L16" s="396">
        <f>VLOOKUP($A16,'Master Data'!$A$3:$AP$151,42,1)</f>
        <v>175.6</v>
      </c>
      <c r="M16" s="397">
        <f>VLOOKUP($A16,'Master Data'!$A$3:$AP$151,41,1)</f>
        <v>15.7</v>
      </c>
      <c r="N16" s="82">
        <v>0.8</v>
      </c>
      <c r="O16" s="82">
        <v>0.8</v>
      </c>
      <c r="P16" s="302">
        <v>2</v>
      </c>
      <c r="Q16" s="302">
        <v>1</v>
      </c>
      <c r="R16" s="83">
        <f>IF(E16&lt;1.1,'Proposed Spec Lines'!D$3+'Proposed Spec Lines'!D$4*'Spec Analysis_ScreenSize'!E16+'Proposed Spec Lines'!D$5*'Spec Analysis_ScreenSize'!G16,'Proposed Spec Lines'!C$3+'Proposed Spec Lines'!C$4*'Spec Analysis_ScreenSize'!E16+'Proposed Spec Lines'!C$5*'Spec Analysis_ScreenSize'!G16)</f>
        <v>13.094170835637673</v>
      </c>
      <c r="S16" s="84">
        <f t="shared" si="1"/>
        <v>0</v>
      </c>
      <c r="T16" s="84">
        <f t="shared" si="11"/>
        <v>0</v>
      </c>
      <c r="U16" s="212">
        <f t="shared" si="3"/>
        <v>15.7</v>
      </c>
      <c r="V16" s="212">
        <f t="shared" si="4"/>
        <v>13.094170835637673</v>
      </c>
      <c r="W16" s="13">
        <f t="shared" si="5"/>
        <v>0.8</v>
      </c>
      <c r="X16" s="13">
        <f t="shared" si="6"/>
        <v>0.8</v>
      </c>
      <c r="Y16" s="13">
        <f t="shared" si="7"/>
        <v>0.8</v>
      </c>
      <c r="Z16" s="13">
        <f t="shared" si="8"/>
        <v>0.8</v>
      </c>
      <c r="AB16" s="240">
        <f t="shared" si="9"/>
        <v>0.9249471458773785</v>
      </c>
    </row>
    <row r="17" spans="1:28" ht="12.75">
      <c r="A17" s="76">
        <v>140</v>
      </c>
      <c r="B17" s="76" t="s">
        <v>30</v>
      </c>
      <c r="C17" s="92" t="s">
        <v>14</v>
      </c>
      <c r="D17" s="92">
        <f t="shared" si="10"/>
        <v>786432</v>
      </c>
      <c r="E17" s="78">
        <f t="shared" si="0"/>
        <v>0.786432</v>
      </c>
      <c r="F17" s="79">
        <v>15</v>
      </c>
      <c r="G17" s="80">
        <v>128.2902690805382</v>
      </c>
      <c r="H17" s="81">
        <v>174.7</v>
      </c>
      <c r="I17" s="81">
        <v>244.3</v>
      </c>
      <c r="J17" s="82">
        <v>14.2</v>
      </c>
      <c r="K17" s="82">
        <v>16.3</v>
      </c>
      <c r="L17" s="396">
        <f>VLOOKUP($A17,'Master Data'!$A$3:$AP$151,42,1)</f>
        <v>174.7</v>
      </c>
      <c r="M17" s="397">
        <f>VLOOKUP($A17,'Master Data'!$A$3:$AP$151,41,1)</f>
        <v>14.2</v>
      </c>
      <c r="N17" s="82">
        <v>0.7</v>
      </c>
      <c r="O17" s="82">
        <v>0.7</v>
      </c>
      <c r="P17" s="302">
        <v>2</v>
      </c>
      <c r="Q17" s="302">
        <v>1</v>
      </c>
      <c r="R17" s="83">
        <f>IF(E17&lt;1.1,'Proposed Spec Lines'!D$3+'Proposed Spec Lines'!D$4*'Spec Analysis_ScreenSize'!E17+'Proposed Spec Lines'!D$5*'Spec Analysis_ScreenSize'!G17,'Proposed Spec Lines'!C$3+'Proposed Spec Lines'!C$4*'Spec Analysis_ScreenSize'!E17+'Proposed Spec Lines'!C$5*'Spec Analysis_ScreenSize'!G17)</f>
        <v>14.13310545402691</v>
      </c>
      <c r="S17" s="84">
        <f t="shared" si="1"/>
        <v>0</v>
      </c>
      <c r="T17" s="84">
        <f t="shared" si="11"/>
        <v>0</v>
      </c>
      <c r="U17" s="212">
        <f t="shared" si="3"/>
        <v>14.2</v>
      </c>
      <c r="V17" s="212">
        <f t="shared" si="4"/>
        <v>14.13310545402691</v>
      </c>
      <c r="W17" s="13">
        <f t="shared" si="5"/>
        <v>0.7</v>
      </c>
      <c r="X17" s="13">
        <f t="shared" si="6"/>
        <v>0.7</v>
      </c>
      <c r="Y17" s="13">
        <f t="shared" si="7"/>
        <v>0.7</v>
      </c>
      <c r="Z17" s="13">
        <f t="shared" si="8"/>
        <v>0.7</v>
      </c>
      <c r="AB17" s="240">
        <f t="shared" si="9"/>
        <v>0.7163323782234957</v>
      </c>
    </row>
    <row r="18" spans="1:28" ht="12.75">
      <c r="A18" s="76">
        <v>141</v>
      </c>
      <c r="B18" s="76" t="s">
        <v>30</v>
      </c>
      <c r="C18" s="92" t="s">
        <v>14</v>
      </c>
      <c r="D18" s="92">
        <f t="shared" si="10"/>
        <v>786432</v>
      </c>
      <c r="E18" s="78">
        <f t="shared" si="0"/>
        <v>0.786432</v>
      </c>
      <c r="F18" s="79">
        <v>15</v>
      </c>
      <c r="G18" s="80">
        <v>107.524304495009</v>
      </c>
      <c r="H18" s="81">
        <v>175.7</v>
      </c>
      <c r="I18" s="81">
        <v>174</v>
      </c>
      <c r="J18" s="82">
        <v>15.9</v>
      </c>
      <c r="K18" s="82">
        <v>16.4</v>
      </c>
      <c r="L18" s="396">
        <f>VLOOKUP($A18,'Master Data'!$A$3:$AP$151,42,1)</f>
        <v>175.7</v>
      </c>
      <c r="M18" s="397">
        <f>VLOOKUP($A18,'Master Data'!$A$3:$AP$151,41,1)</f>
        <v>15.9</v>
      </c>
      <c r="N18" s="82">
        <v>1.1</v>
      </c>
      <c r="O18" s="82">
        <v>1.1</v>
      </c>
      <c r="P18" s="302">
        <v>2</v>
      </c>
      <c r="Q18" s="302">
        <v>1</v>
      </c>
      <c r="R18" s="83">
        <f>IF(E18&lt;1.1,'Proposed Spec Lines'!D$3+'Proposed Spec Lines'!D$4*'Spec Analysis_ScreenSize'!E18+'Proposed Spec Lines'!D$5*'Spec Analysis_ScreenSize'!G18,'Proposed Spec Lines'!C$3+'Proposed Spec Lines'!C$4*'Spec Analysis_ScreenSize'!E18+'Proposed Spec Lines'!C$5*'Spec Analysis_ScreenSize'!G18)</f>
        <v>13.09480722475045</v>
      </c>
      <c r="S18" s="84">
        <f t="shared" si="1"/>
        <v>0</v>
      </c>
      <c r="T18" s="84">
        <f t="shared" si="11"/>
        <v>0</v>
      </c>
      <c r="U18" s="212">
        <f t="shared" si="3"/>
        <v>15.9</v>
      </c>
      <c r="V18" s="212">
        <f t="shared" si="4"/>
        <v>13.09480722475045</v>
      </c>
      <c r="W18" s="13">
        <f t="shared" si="5"/>
        <v>1.1</v>
      </c>
      <c r="X18" s="13">
        <f t="shared" si="6"/>
        <v>1.1</v>
      </c>
      <c r="Y18" s="13">
        <f t="shared" si="7"/>
        <v>1.1</v>
      </c>
      <c r="Z18" s="13">
        <f t="shared" si="8"/>
        <v>1</v>
      </c>
      <c r="AB18" s="240">
        <f t="shared" si="9"/>
        <v>1.0057471264367817</v>
      </c>
    </row>
    <row r="19" spans="1:28" ht="12.75">
      <c r="A19" s="96">
        <v>71</v>
      </c>
      <c r="B19" s="76" t="s">
        <v>30</v>
      </c>
      <c r="C19" s="97" t="s">
        <v>15</v>
      </c>
      <c r="D19" s="97">
        <f>1280*720</f>
        <v>921600</v>
      </c>
      <c r="E19" s="78">
        <f t="shared" si="0"/>
        <v>0.9216</v>
      </c>
      <c r="F19" s="79">
        <v>15.00405277260778</v>
      </c>
      <c r="G19" s="80">
        <v>196.2104790924961</v>
      </c>
      <c r="H19" s="98">
        <v>174.9</v>
      </c>
      <c r="I19" s="98">
        <v>178.1</v>
      </c>
      <c r="J19" s="99">
        <v>15.48</v>
      </c>
      <c r="K19" s="99">
        <v>16.51</v>
      </c>
      <c r="L19" s="396">
        <f>VLOOKUP($A19,'Master Data'!$A$3:$AP$151,42,1)</f>
        <v>174.9</v>
      </c>
      <c r="M19" s="397">
        <f>VLOOKUP($A19,'Master Data'!$A$3:$AP$151,41,1)</f>
        <v>15.48</v>
      </c>
      <c r="N19" s="99">
        <v>0.678</v>
      </c>
      <c r="O19" s="99">
        <v>0.477</v>
      </c>
      <c r="P19" s="302">
        <v>2</v>
      </c>
      <c r="Q19" s="302">
        <v>1</v>
      </c>
      <c r="R19" s="83">
        <f>IF(E19&lt;1.1,'Proposed Spec Lines'!D$3+'Proposed Spec Lines'!D$4*'Spec Analysis_ScreenSize'!E19+'Proposed Spec Lines'!D$5*'Spec Analysis_ScreenSize'!G19,'Proposed Spec Lines'!C$3+'Proposed Spec Lines'!C$4*'Spec Analysis_ScreenSize'!E19+'Proposed Spec Lines'!C$5*'Spec Analysis_ScreenSize'!G19)</f>
        <v>18.340123954624808</v>
      </c>
      <c r="S19" s="84">
        <f t="shared" si="1"/>
        <v>1</v>
      </c>
      <c r="T19" s="84">
        <f t="shared" si="11"/>
        <v>1</v>
      </c>
      <c r="U19" s="212">
        <f t="shared" si="3"/>
        <v>15.48</v>
      </c>
      <c r="V19" s="212">
        <f t="shared" si="4"/>
        <v>15.48</v>
      </c>
      <c r="W19" s="13">
        <f t="shared" si="5"/>
        <v>0.678</v>
      </c>
      <c r="X19" s="13">
        <f t="shared" si="6"/>
        <v>0.678</v>
      </c>
      <c r="Y19" s="13">
        <f t="shared" si="7"/>
        <v>0.477</v>
      </c>
      <c r="Z19" s="13">
        <f t="shared" si="8"/>
        <v>0.477</v>
      </c>
      <c r="AB19" s="240">
        <f t="shared" si="9"/>
        <v>0.982594048287479</v>
      </c>
    </row>
    <row r="20" spans="1:28" ht="12.75">
      <c r="A20" s="85">
        <v>38</v>
      </c>
      <c r="B20" s="76" t="s">
        <v>30</v>
      </c>
      <c r="C20" s="89" t="s">
        <v>5</v>
      </c>
      <c r="D20" s="89">
        <f>1280*800</f>
        <v>1024000</v>
      </c>
      <c r="E20" s="78">
        <f t="shared" si="0"/>
        <v>1.024</v>
      </c>
      <c r="F20" s="79">
        <v>15.4</v>
      </c>
      <c r="G20" s="80">
        <v>110.5</v>
      </c>
      <c r="H20" s="90">
        <v>175</v>
      </c>
      <c r="I20" s="90">
        <v>200</v>
      </c>
      <c r="J20" s="91">
        <v>12.6</v>
      </c>
      <c r="K20" s="91">
        <v>13.8</v>
      </c>
      <c r="L20" s="396">
        <f>VLOOKUP($A20,'Master Data'!$A$3:$AP$151,42,1)</f>
        <v>175</v>
      </c>
      <c r="M20" s="397">
        <f>VLOOKUP($A20,'Master Data'!$A$3:$AP$151,41,1)</f>
        <v>12.6</v>
      </c>
      <c r="N20" s="91">
        <v>0.35</v>
      </c>
      <c r="O20" s="91">
        <v>0.21</v>
      </c>
      <c r="P20" s="302">
        <v>2</v>
      </c>
      <c r="Q20" s="302">
        <v>1</v>
      </c>
      <c r="R20" s="83">
        <f>IF(E20&lt;1.1,'Proposed Spec Lines'!D$3+'Proposed Spec Lines'!D$4*'Spec Analysis_ScreenSize'!E20+'Proposed Spec Lines'!D$5*'Spec Analysis_ScreenSize'!G20,'Proposed Spec Lines'!C$3+'Proposed Spec Lines'!C$4*'Spec Analysis_ScreenSize'!E20+'Proposed Spec Lines'!C$5*'Spec Analysis_ScreenSize'!G20)</f>
        <v>14.669</v>
      </c>
      <c r="S20" s="84">
        <f t="shared" si="1"/>
        <v>1</v>
      </c>
      <c r="T20" s="84">
        <f t="shared" si="11"/>
        <v>1</v>
      </c>
      <c r="U20" s="212">
        <f t="shared" si="3"/>
        <v>12.6</v>
      </c>
      <c r="V20" s="212">
        <f t="shared" si="4"/>
        <v>12.6</v>
      </c>
      <c r="W20" s="13">
        <f t="shared" si="5"/>
        <v>0.35</v>
      </c>
      <c r="X20" s="13">
        <f t="shared" si="6"/>
        <v>0.35</v>
      </c>
      <c r="Y20" s="13">
        <f t="shared" si="7"/>
        <v>0.21</v>
      </c>
      <c r="Z20" s="13">
        <f t="shared" si="8"/>
        <v>0.21</v>
      </c>
      <c r="AB20" s="240">
        <f t="shared" si="9"/>
        <v>0.875</v>
      </c>
    </row>
    <row r="21" spans="1:28" ht="12.75">
      <c r="A21" s="96">
        <v>115</v>
      </c>
      <c r="B21" s="76" t="s">
        <v>30</v>
      </c>
      <c r="C21" s="89" t="s">
        <v>7</v>
      </c>
      <c r="D21" s="89">
        <f>1366*768</f>
        <v>1049088</v>
      </c>
      <c r="E21" s="78">
        <f t="shared" si="0"/>
        <v>1.049088</v>
      </c>
      <c r="F21" s="79">
        <v>15.6</v>
      </c>
      <c r="G21" s="80">
        <v>106.00161200322403</v>
      </c>
      <c r="H21" s="90">
        <v>175</v>
      </c>
      <c r="I21" s="90">
        <v>153</v>
      </c>
      <c r="J21" s="91">
        <v>13.6</v>
      </c>
      <c r="K21" s="91">
        <v>13.1</v>
      </c>
      <c r="L21" s="396">
        <f>VLOOKUP($A21,'Master Data'!$A$3:$AP$151,42,1)</f>
        <v>175</v>
      </c>
      <c r="M21" s="397">
        <f>VLOOKUP($A21,'Master Data'!$A$3:$AP$151,41,1)</f>
        <v>13.6</v>
      </c>
      <c r="N21" s="91">
        <v>0.4</v>
      </c>
      <c r="O21" s="91">
        <v>0.36</v>
      </c>
      <c r="P21" s="302">
        <v>2</v>
      </c>
      <c r="Q21" s="302">
        <v>1</v>
      </c>
      <c r="R21" s="83">
        <f>IF(E21&lt;1.1,'Proposed Spec Lines'!D$3+'Proposed Spec Lines'!D$4*'Spec Analysis_ScreenSize'!E21+'Proposed Spec Lines'!D$5*'Spec Analysis_ScreenSize'!G21,'Proposed Spec Lines'!C$3+'Proposed Spec Lines'!C$4*'Spec Analysis_ScreenSize'!E21+'Proposed Spec Lines'!C$5*'Spec Analysis_ScreenSize'!G21)</f>
        <v>14.594608600161202</v>
      </c>
      <c r="S21" s="84">
        <f t="shared" si="1"/>
        <v>1</v>
      </c>
      <c r="T21" s="84">
        <f t="shared" si="11"/>
        <v>1</v>
      </c>
      <c r="U21" s="212">
        <f t="shared" si="3"/>
        <v>13.6</v>
      </c>
      <c r="V21" s="212">
        <f t="shared" si="4"/>
        <v>13.6</v>
      </c>
      <c r="W21" s="13">
        <f t="shared" si="5"/>
        <v>0.4</v>
      </c>
      <c r="X21" s="13">
        <f t="shared" si="6"/>
        <v>0.4</v>
      </c>
      <c r="Y21" s="13">
        <f t="shared" si="7"/>
        <v>0.36</v>
      </c>
      <c r="Z21" s="13">
        <f t="shared" si="8"/>
        <v>0.36</v>
      </c>
      <c r="AB21" s="240">
        <f t="shared" si="9"/>
        <v>1.1437908496732025</v>
      </c>
    </row>
    <row r="22" spans="1:28" ht="12.75">
      <c r="A22" s="96">
        <v>131</v>
      </c>
      <c r="B22" s="76" t="s">
        <v>30</v>
      </c>
      <c r="C22" s="92" t="s">
        <v>7</v>
      </c>
      <c r="D22" s="92">
        <f>1366*768</f>
        <v>1049088</v>
      </c>
      <c r="E22" s="78">
        <f t="shared" si="0"/>
        <v>1.049088</v>
      </c>
      <c r="F22" s="79">
        <v>15.6</v>
      </c>
      <c r="G22" s="80">
        <v>106.00161200322403</v>
      </c>
      <c r="H22" s="93">
        <v>175</v>
      </c>
      <c r="I22" s="93">
        <v>153</v>
      </c>
      <c r="J22" s="94">
        <v>13.6</v>
      </c>
      <c r="K22" s="94">
        <v>13.8</v>
      </c>
      <c r="L22" s="396">
        <f>VLOOKUP($A22,'Master Data'!$A$3:$AP$151,42,1)</f>
        <v>149</v>
      </c>
      <c r="M22" s="397">
        <f>VLOOKUP($A22,'Master Data'!$A$3:$AP$151,41,1)</f>
        <v>12.260000000000002</v>
      </c>
      <c r="N22" s="94">
        <v>0.4</v>
      </c>
      <c r="O22" s="94">
        <v>0.36</v>
      </c>
      <c r="P22" s="302">
        <v>2</v>
      </c>
      <c r="Q22" s="302">
        <v>1</v>
      </c>
      <c r="R22" s="83">
        <f>IF(E22&lt;1.1,'Proposed Spec Lines'!D$3+'Proposed Spec Lines'!D$4*'Spec Analysis_ScreenSize'!E22+'Proposed Spec Lines'!D$5*'Spec Analysis_ScreenSize'!G22,'Proposed Spec Lines'!C$3+'Proposed Spec Lines'!C$4*'Spec Analysis_ScreenSize'!E22+'Proposed Spec Lines'!C$5*'Spec Analysis_ScreenSize'!G22)</f>
        <v>14.594608600161202</v>
      </c>
      <c r="S22" s="84">
        <f t="shared" si="1"/>
        <v>1</v>
      </c>
      <c r="T22" s="84">
        <f t="shared" si="11"/>
        <v>1</v>
      </c>
      <c r="U22" s="212">
        <f t="shared" si="3"/>
        <v>12.260000000000002</v>
      </c>
      <c r="V22" s="212">
        <f t="shared" si="4"/>
        <v>12.260000000000002</v>
      </c>
      <c r="W22" s="13">
        <f t="shared" si="5"/>
        <v>0.4</v>
      </c>
      <c r="X22" s="13">
        <f t="shared" si="6"/>
        <v>0.4</v>
      </c>
      <c r="Y22" s="13">
        <f t="shared" si="7"/>
        <v>0.36</v>
      </c>
      <c r="Z22" s="13">
        <f t="shared" si="8"/>
        <v>0.36</v>
      </c>
      <c r="AB22" s="240">
        <f t="shared" si="9"/>
        <v>1.1437908496732025</v>
      </c>
    </row>
    <row r="23" spans="1:28" ht="12.75">
      <c r="A23" s="59">
        <v>13</v>
      </c>
      <c r="B23" s="59" t="s">
        <v>30</v>
      </c>
      <c r="C23" s="100" t="s">
        <v>15</v>
      </c>
      <c r="D23" s="100">
        <f>1280*720</f>
        <v>921600</v>
      </c>
      <c r="E23" s="54">
        <f t="shared" si="0"/>
        <v>0.9216</v>
      </c>
      <c r="F23" s="101">
        <v>17</v>
      </c>
      <c r="G23" s="56">
        <v>120</v>
      </c>
      <c r="H23" s="61">
        <v>178</v>
      </c>
      <c r="I23" s="61">
        <v>153</v>
      </c>
      <c r="J23" s="62">
        <v>19.8</v>
      </c>
      <c r="K23" s="62">
        <v>20</v>
      </c>
      <c r="L23" s="398">
        <f>VLOOKUP($A23,'Master Data'!$A$3:$AP$151,42,1)</f>
        <v>142.62</v>
      </c>
      <c r="M23" s="399">
        <f>VLOOKUP($A23,'Master Data'!$A$3:$AP$151,41,1)</f>
        <v>19.782000000000004</v>
      </c>
      <c r="N23" s="62">
        <v>1.09</v>
      </c>
      <c r="O23" s="62">
        <v>1.06</v>
      </c>
      <c r="P23" s="299">
        <v>2</v>
      </c>
      <c r="Q23" s="299">
        <v>1</v>
      </c>
      <c r="R23" s="58">
        <f>IF(E23&lt;1.1,'Proposed Spec Lines'!D$3+'Proposed Spec Lines'!D$4*'Spec Analysis_ScreenSize'!E23+'Proposed Spec Lines'!D$5*'Spec Analysis_ScreenSize'!G23,'Proposed Spec Lines'!C$3+'Proposed Spec Lines'!C$4*'Spec Analysis_ScreenSize'!E23+'Proposed Spec Lines'!C$5*'Spec Analysis_ScreenSize'!G23)</f>
        <v>14.5296</v>
      </c>
      <c r="S23" s="70">
        <f t="shared" si="1"/>
        <v>0</v>
      </c>
      <c r="T23" s="70">
        <f t="shared" si="11"/>
        <v>0</v>
      </c>
      <c r="U23" s="212">
        <f t="shared" si="3"/>
        <v>19.782000000000004</v>
      </c>
      <c r="V23" s="212">
        <f t="shared" si="4"/>
        <v>14.5296</v>
      </c>
      <c r="W23" s="13">
        <f t="shared" si="5"/>
        <v>1.09</v>
      </c>
      <c r="X23" s="13">
        <f t="shared" si="6"/>
        <v>1.09</v>
      </c>
      <c r="Y23" s="13">
        <f t="shared" si="7"/>
        <v>1.06</v>
      </c>
      <c r="Z23" s="13">
        <f t="shared" si="8"/>
        <v>1</v>
      </c>
      <c r="AB23" s="240">
        <f t="shared" si="9"/>
        <v>1.1437908496732025</v>
      </c>
    </row>
    <row r="24" spans="1:28" ht="12.75">
      <c r="A24" s="63">
        <v>30</v>
      </c>
      <c r="B24" s="59" t="s">
        <v>30</v>
      </c>
      <c r="C24" s="60" t="s">
        <v>4</v>
      </c>
      <c r="D24" s="60">
        <f>1440*900</f>
        <v>1296000</v>
      </c>
      <c r="E24" s="54">
        <f t="shared" si="0"/>
        <v>1.296</v>
      </c>
      <c r="F24" s="101">
        <v>17</v>
      </c>
      <c r="G24" s="56">
        <v>131.95</v>
      </c>
      <c r="H24" s="67">
        <v>175</v>
      </c>
      <c r="I24" s="67">
        <v>187</v>
      </c>
      <c r="J24" s="62">
        <v>18.4</v>
      </c>
      <c r="K24" s="62">
        <v>21</v>
      </c>
      <c r="L24" s="398">
        <f>VLOOKUP($A24,'Master Data'!$A$3:$AP$151,42,1)</f>
        <v>200</v>
      </c>
      <c r="M24" s="399">
        <f>VLOOKUP($A24,'Master Data'!$A$3:$AP$151,41,1)</f>
        <v>20.717682352817206</v>
      </c>
      <c r="N24" s="62">
        <v>0.64</v>
      </c>
      <c r="O24" s="62">
        <v>0.5</v>
      </c>
      <c r="P24" s="299">
        <v>2</v>
      </c>
      <c r="Q24" s="299">
        <v>1</v>
      </c>
      <c r="R24" s="58">
        <f>IF(E24&lt;1.1,'Proposed Spec Lines'!D$3+'Proposed Spec Lines'!D$4*'Spec Analysis_ScreenSize'!E24+'Proposed Spec Lines'!D$5*'Spec Analysis_ScreenSize'!G24,'Proposed Spec Lines'!C$3+'Proposed Spec Lines'!C$4*'Spec Analysis_ScreenSize'!E24+'Proposed Spec Lines'!C$5*'Spec Analysis_ScreenSize'!G24)</f>
        <v>21.261499999999998</v>
      </c>
      <c r="S24" s="70">
        <f t="shared" si="1"/>
        <v>1</v>
      </c>
      <c r="T24" s="70">
        <f t="shared" si="11"/>
        <v>1</v>
      </c>
      <c r="U24" s="212">
        <f t="shared" si="3"/>
        <v>20.717682352817206</v>
      </c>
      <c r="V24" s="212">
        <f t="shared" si="4"/>
        <v>20.717682352817206</v>
      </c>
      <c r="W24" s="13">
        <f t="shared" si="5"/>
        <v>0.64</v>
      </c>
      <c r="X24" s="13">
        <f t="shared" si="6"/>
        <v>0.64</v>
      </c>
      <c r="Y24" s="13">
        <f t="shared" si="7"/>
        <v>0.5</v>
      </c>
      <c r="Z24" s="13">
        <f t="shared" si="8"/>
        <v>0.5</v>
      </c>
      <c r="AB24" s="240">
        <f>200/I24</f>
        <v>1.0695187165775402</v>
      </c>
    </row>
    <row r="25" spans="1:28" ht="12.75">
      <c r="A25" s="59">
        <v>32</v>
      </c>
      <c r="B25" s="59" t="s">
        <v>30</v>
      </c>
      <c r="C25" s="60" t="s">
        <v>4</v>
      </c>
      <c r="D25" s="60">
        <f>1440*900</f>
        <v>1296000</v>
      </c>
      <c r="E25" s="54">
        <f t="shared" si="0"/>
        <v>1.296</v>
      </c>
      <c r="F25" s="101">
        <v>17</v>
      </c>
      <c r="G25" s="56">
        <v>132.86</v>
      </c>
      <c r="H25" s="61">
        <v>175</v>
      </c>
      <c r="I25" s="61">
        <v>189</v>
      </c>
      <c r="J25" s="62">
        <v>19</v>
      </c>
      <c r="K25" s="62">
        <v>20.1</v>
      </c>
      <c r="L25" s="398">
        <f>VLOOKUP($A25,'Master Data'!$A$3:$AP$151,42,1)</f>
        <v>200</v>
      </c>
      <c r="M25" s="399">
        <f>VLOOKUP($A25,'Master Data'!$A$3:$AP$151,41,1)</f>
        <v>20.123632726518316</v>
      </c>
      <c r="N25" s="62">
        <v>0.57</v>
      </c>
      <c r="O25" s="62">
        <v>0.48</v>
      </c>
      <c r="P25" s="299">
        <v>2</v>
      </c>
      <c r="Q25" s="299">
        <v>1</v>
      </c>
      <c r="R25" s="58">
        <f>IF(E25&lt;1.1,'Proposed Spec Lines'!D$3+'Proposed Spec Lines'!D$4*'Spec Analysis_ScreenSize'!E25+'Proposed Spec Lines'!D$5*'Spec Analysis_ScreenSize'!G25,'Proposed Spec Lines'!C$3+'Proposed Spec Lines'!C$4*'Spec Analysis_ScreenSize'!E25+'Proposed Spec Lines'!C$5*'Spec Analysis_ScreenSize'!G25)</f>
        <v>21.307000000000002</v>
      </c>
      <c r="S25" s="70">
        <f t="shared" si="1"/>
        <v>1</v>
      </c>
      <c r="T25" s="70">
        <f t="shared" si="11"/>
        <v>1</v>
      </c>
      <c r="U25" s="212">
        <f t="shared" si="3"/>
        <v>20.123632726518316</v>
      </c>
      <c r="V25" s="212">
        <f t="shared" si="4"/>
        <v>20.123632726518316</v>
      </c>
      <c r="W25" s="13">
        <f t="shared" si="5"/>
        <v>0.57</v>
      </c>
      <c r="X25" s="13">
        <f t="shared" si="6"/>
        <v>0.57</v>
      </c>
      <c r="Y25" s="13">
        <f t="shared" si="7"/>
        <v>0.48</v>
      </c>
      <c r="Z25" s="13">
        <f t="shared" si="8"/>
        <v>0.48</v>
      </c>
      <c r="AB25" s="240">
        <f aca="true" t="shared" si="12" ref="AB25:AB87">200/I25</f>
        <v>1.0582010582010581</v>
      </c>
    </row>
    <row r="26" spans="1:28" ht="12.75">
      <c r="A26" s="52">
        <v>111</v>
      </c>
      <c r="B26" s="59" t="s">
        <v>30</v>
      </c>
      <c r="C26" s="53" t="s">
        <v>4</v>
      </c>
      <c r="D26" s="53">
        <f>1440*900</f>
        <v>1296000</v>
      </c>
      <c r="E26" s="54">
        <f t="shared" si="0"/>
        <v>1.296</v>
      </c>
      <c r="F26" s="101">
        <v>17</v>
      </c>
      <c r="G26" s="56">
        <v>130.62195875556</v>
      </c>
      <c r="H26" s="55">
        <v>175</v>
      </c>
      <c r="I26" s="55">
        <v>225</v>
      </c>
      <c r="J26" s="57">
        <v>18.4</v>
      </c>
      <c r="K26" s="57">
        <v>21.5</v>
      </c>
      <c r="L26" s="398">
        <f>VLOOKUP($A26,'Master Data'!$A$3:$AP$151,42,1)</f>
        <v>160</v>
      </c>
      <c r="M26" s="399">
        <f>VLOOKUP($A26,'Master Data'!$A$3:$AP$151,41,1)</f>
        <v>15.953684210526326</v>
      </c>
      <c r="N26" s="57">
        <v>0.64</v>
      </c>
      <c r="O26" s="57">
        <v>0.56</v>
      </c>
      <c r="P26" s="299">
        <v>2</v>
      </c>
      <c r="Q26" s="299">
        <v>1</v>
      </c>
      <c r="R26" s="58">
        <f>IF(E26&lt;1.1,'Proposed Spec Lines'!D$3+'Proposed Spec Lines'!D$4*'Spec Analysis_ScreenSize'!E26+'Proposed Spec Lines'!D$5*'Spec Analysis_ScreenSize'!G26,'Proposed Spec Lines'!C$3+'Proposed Spec Lines'!C$4*'Spec Analysis_ScreenSize'!E26+'Proposed Spec Lines'!C$5*'Spec Analysis_ScreenSize'!G26)</f>
        <v>21.195097937778</v>
      </c>
      <c r="S26" s="70">
        <f t="shared" si="1"/>
        <v>1</v>
      </c>
      <c r="T26" s="70">
        <f t="shared" si="11"/>
        <v>1</v>
      </c>
      <c r="U26" s="212">
        <f t="shared" si="3"/>
        <v>15.953684210526326</v>
      </c>
      <c r="V26" s="212">
        <f t="shared" si="4"/>
        <v>15.953684210526326</v>
      </c>
      <c r="W26" s="13">
        <f t="shared" si="5"/>
        <v>0.64</v>
      </c>
      <c r="X26" s="13">
        <f t="shared" si="6"/>
        <v>0.64</v>
      </c>
      <c r="Y26" s="13">
        <f t="shared" si="7"/>
        <v>0.56</v>
      </c>
      <c r="Z26" s="13">
        <f t="shared" si="8"/>
        <v>0.56</v>
      </c>
      <c r="AB26" s="240">
        <f t="shared" si="12"/>
        <v>0.8888888888888888</v>
      </c>
    </row>
    <row r="27" spans="1:28" ht="12.75">
      <c r="A27" s="59">
        <v>129</v>
      </c>
      <c r="B27" s="59" t="s">
        <v>30</v>
      </c>
      <c r="C27" s="60" t="s">
        <v>4</v>
      </c>
      <c r="D27" s="60">
        <f>1440*900</f>
        <v>1296000</v>
      </c>
      <c r="E27" s="54">
        <f t="shared" si="0"/>
        <v>1.296</v>
      </c>
      <c r="F27" s="101">
        <v>17</v>
      </c>
      <c r="G27" s="56">
        <v>130.6224812449625</v>
      </c>
      <c r="H27" s="61">
        <v>175</v>
      </c>
      <c r="I27" s="61">
        <v>195</v>
      </c>
      <c r="J27" s="62">
        <v>16.8</v>
      </c>
      <c r="K27" s="62">
        <v>17.6</v>
      </c>
      <c r="L27" s="398">
        <f>VLOOKUP($A27,'Master Data'!$A$3:$AP$151,42,1)</f>
        <v>172</v>
      </c>
      <c r="M27" s="399">
        <f>VLOOKUP($A27,'Master Data'!$A$3:$AP$151,41,1)</f>
        <v>16.301852895148674</v>
      </c>
      <c r="N27" s="62">
        <v>0.45</v>
      </c>
      <c r="O27" s="62">
        <v>0.32</v>
      </c>
      <c r="P27" s="299">
        <v>2</v>
      </c>
      <c r="Q27" s="299">
        <v>1</v>
      </c>
      <c r="R27" s="58">
        <f>IF(E27&lt;1.1,'Proposed Spec Lines'!D$3+'Proposed Spec Lines'!D$4*'Spec Analysis_ScreenSize'!E27+'Proposed Spec Lines'!D$5*'Spec Analysis_ScreenSize'!G27,'Proposed Spec Lines'!C$3+'Proposed Spec Lines'!C$4*'Spec Analysis_ScreenSize'!E27+'Proposed Spec Lines'!C$5*'Spec Analysis_ScreenSize'!G27)</f>
        <v>21.195124062248127</v>
      </c>
      <c r="S27" s="70">
        <f t="shared" si="1"/>
        <v>1</v>
      </c>
      <c r="T27" s="70">
        <f t="shared" si="11"/>
        <v>1</v>
      </c>
      <c r="U27" s="212">
        <f t="shared" si="3"/>
        <v>16.301852895148674</v>
      </c>
      <c r="V27" s="212">
        <f t="shared" si="4"/>
        <v>16.301852895148674</v>
      </c>
      <c r="W27" s="13">
        <f t="shared" si="5"/>
        <v>0.45</v>
      </c>
      <c r="X27" s="13">
        <f t="shared" si="6"/>
        <v>0.45</v>
      </c>
      <c r="Y27" s="13">
        <f t="shared" si="7"/>
        <v>0.32</v>
      </c>
      <c r="Z27" s="13">
        <f t="shared" si="8"/>
        <v>0.32</v>
      </c>
      <c r="AB27" s="240">
        <f t="shared" si="12"/>
        <v>1.0256410256410255</v>
      </c>
    </row>
    <row r="28" spans="1:28" ht="12.75">
      <c r="A28" s="63">
        <v>5</v>
      </c>
      <c r="B28" s="59" t="s">
        <v>30</v>
      </c>
      <c r="C28" s="100" t="s">
        <v>3</v>
      </c>
      <c r="D28" s="100">
        <f aca="true" t="shared" si="13" ref="D28:D45">1280*1024</f>
        <v>1310720</v>
      </c>
      <c r="E28" s="54">
        <f t="shared" si="0"/>
        <v>1.31072</v>
      </c>
      <c r="F28" s="101">
        <v>17</v>
      </c>
      <c r="G28" s="56">
        <v>143</v>
      </c>
      <c r="H28" s="61">
        <v>175</v>
      </c>
      <c r="I28" s="61">
        <v>152</v>
      </c>
      <c r="J28" s="62">
        <v>31.58</v>
      </c>
      <c r="K28" s="62">
        <v>31.5</v>
      </c>
      <c r="L28" s="398">
        <f>VLOOKUP($A28,'Master Data'!$A$3:$AP$151,42,1)</f>
        <v>160.24</v>
      </c>
      <c r="M28" s="399">
        <f>VLOOKUP($A28,'Master Data'!$A$3:$AP$151,41,1)</f>
        <v>31.460498648918907</v>
      </c>
      <c r="N28" s="62">
        <v>0.82</v>
      </c>
      <c r="O28" s="62">
        <v>0.79</v>
      </c>
      <c r="P28" s="299">
        <v>2</v>
      </c>
      <c r="Q28" s="299">
        <v>1</v>
      </c>
      <c r="R28" s="58">
        <f>IF(E28&lt;1.1,'Proposed Spec Lines'!D$3+'Proposed Spec Lines'!D$4*'Spec Analysis_ScreenSize'!E28+'Proposed Spec Lines'!D$5*'Spec Analysis_ScreenSize'!G28,'Proposed Spec Lines'!C$3+'Proposed Spec Lines'!C$4*'Spec Analysis_ScreenSize'!E28+'Proposed Spec Lines'!C$5*'Spec Analysis_ScreenSize'!G28)</f>
        <v>21.94648</v>
      </c>
      <c r="S28" s="70">
        <f t="shared" si="1"/>
        <v>0</v>
      </c>
      <c r="T28" s="70">
        <f t="shared" si="11"/>
        <v>0</v>
      </c>
      <c r="U28" s="212">
        <f t="shared" si="3"/>
        <v>31.460498648918907</v>
      </c>
      <c r="V28" s="212">
        <f t="shared" si="4"/>
        <v>21.94648</v>
      </c>
      <c r="W28" s="13">
        <f t="shared" si="5"/>
        <v>0.82</v>
      </c>
      <c r="X28" s="13">
        <f t="shared" si="6"/>
        <v>0.82</v>
      </c>
      <c r="Y28" s="13">
        <f t="shared" si="7"/>
        <v>0.79</v>
      </c>
      <c r="Z28" s="13">
        <f t="shared" si="8"/>
        <v>0.79</v>
      </c>
      <c r="AB28" s="240">
        <f t="shared" si="12"/>
        <v>1.3157894736842106</v>
      </c>
    </row>
    <row r="29" spans="1:28" ht="12.75">
      <c r="A29" s="59">
        <v>6</v>
      </c>
      <c r="B29" s="59" t="s">
        <v>30</v>
      </c>
      <c r="C29" s="100" t="s">
        <v>3</v>
      </c>
      <c r="D29" s="100">
        <f t="shared" si="13"/>
        <v>1310720</v>
      </c>
      <c r="E29" s="54">
        <f t="shared" si="0"/>
        <v>1.31072</v>
      </c>
      <c r="F29" s="101">
        <v>17</v>
      </c>
      <c r="G29" s="56">
        <v>143</v>
      </c>
      <c r="H29" s="61">
        <v>177</v>
      </c>
      <c r="I29" s="61">
        <v>197</v>
      </c>
      <c r="J29" s="62">
        <v>29.7</v>
      </c>
      <c r="K29" s="62">
        <v>26.7</v>
      </c>
      <c r="L29" s="398">
        <f>VLOOKUP($A29,'Master Data'!$A$3:$AP$151,42,1)</f>
        <v>162.22</v>
      </c>
      <c r="M29" s="399">
        <f>VLOOKUP($A29,'Master Data'!$A$3:$AP$151,41,1)</f>
        <v>28.07161458469273</v>
      </c>
      <c r="N29" s="62">
        <v>1.2</v>
      </c>
      <c r="O29" s="62">
        <v>0.92</v>
      </c>
      <c r="P29" s="299">
        <v>2</v>
      </c>
      <c r="Q29" s="299">
        <v>1</v>
      </c>
      <c r="R29" s="58">
        <f>IF(E29&lt;1.1,'Proposed Spec Lines'!D$3+'Proposed Spec Lines'!D$4*'Spec Analysis_ScreenSize'!E29+'Proposed Spec Lines'!D$5*'Spec Analysis_ScreenSize'!G29,'Proposed Spec Lines'!C$3+'Proposed Spec Lines'!C$4*'Spec Analysis_ScreenSize'!E29+'Proposed Spec Lines'!C$5*'Spec Analysis_ScreenSize'!G29)</f>
        <v>21.94648</v>
      </c>
      <c r="S29" s="70">
        <f t="shared" si="1"/>
        <v>0</v>
      </c>
      <c r="T29" s="70">
        <f t="shared" si="11"/>
        <v>0</v>
      </c>
      <c r="U29" s="212">
        <f t="shared" si="3"/>
        <v>28.07161458469273</v>
      </c>
      <c r="V29" s="212">
        <f t="shared" si="4"/>
        <v>21.94648</v>
      </c>
      <c r="W29" s="13">
        <f t="shared" si="5"/>
        <v>1.2</v>
      </c>
      <c r="X29" s="13">
        <f t="shared" si="6"/>
        <v>1.2</v>
      </c>
      <c r="Y29" s="13">
        <f t="shared" si="7"/>
        <v>0.92</v>
      </c>
      <c r="Z29" s="13">
        <f t="shared" si="8"/>
        <v>0.92</v>
      </c>
      <c r="AB29" s="240">
        <f t="shared" si="12"/>
        <v>1.015228426395939</v>
      </c>
    </row>
    <row r="30" spans="1:28" ht="12.75">
      <c r="A30" s="59">
        <v>12</v>
      </c>
      <c r="B30" s="59" t="s">
        <v>30</v>
      </c>
      <c r="C30" s="100" t="s">
        <v>3</v>
      </c>
      <c r="D30" s="100">
        <f t="shared" si="13"/>
        <v>1310720</v>
      </c>
      <c r="E30" s="54">
        <f t="shared" si="0"/>
        <v>1.31072</v>
      </c>
      <c r="F30" s="101">
        <v>17</v>
      </c>
      <c r="G30" s="56">
        <v>143</v>
      </c>
      <c r="H30" s="61">
        <v>176</v>
      </c>
      <c r="I30" s="61">
        <v>149</v>
      </c>
      <c r="J30" s="62">
        <v>28.55</v>
      </c>
      <c r="K30" s="62">
        <v>29.21</v>
      </c>
      <c r="L30" s="398">
        <f>VLOOKUP($A30,'Master Data'!$A$3:$AP$151,42,1)</f>
        <v>160.224</v>
      </c>
      <c r="M30" s="399">
        <f>VLOOKUP($A30,'Master Data'!$A$3:$AP$151,41,1)</f>
        <v>28.772166735454586</v>
      </c>
      <c r="N30" s="62">
        <v>0.56</v>
      </c>
      <c r="O30" s="62">
        <v>0.5</v>
      </c>
      <c r="P30" s="299">
        <v>2</v>
      </c>
      <c r="Q30" s="299">
        <v>1</v>
      </c>
      <c r="R30" s="58">
        <f>IF(E30&lt;1.1,'Proposed Spec Lines'!D$3+'Proposed Spec Lines'!D$4*'Spec Analysis_ScreenSize'!E30+'Proposed Spec Lines'!D$5*'Spec Analysis_ScreenSize'!G30,'Proposed Spec Lines'!C$3+'Proposed Spec Lines'!C$4*'Spec Analysis_ScreenSize'!E30+'Proposed Spec Lines'!C$5*'Spec Analysis_ScreenSize'!G30)</f>
        <v>21.94648</v>
      </c>
      <c r="S30" s="70">
        <f t="shared" si="1"/>
        <v>0</v>
      </c>
      <c r="T30" s="70">
        <f t="shared" si="11"/>
        <v>0</v>
      </c>
      <c r="U30" s="212">
        <f t="shared" si="3"/>
        <v>28.772166735454586</v>
      </c>
      <c r="V30" s="212">
        <f t="shared" si="4"/>
        <v>21.94648</v>
      </c>
      <c r="W30" s="13">
        <f t="shared" si="5"/>
        <v>0.56</v>
      </c>
      <c r="X30" s="13">
        <f t="shared" si="6"/>
        <v>0.56</v>
      </c>
      <c r="Y30" s="13">
        <f t="shared" si="7"/>
        <v>0.5</v>
      </c>
      <c r="Z30" s="13">
        <f t="shared" si="8"/>
        <v>0.5</v>
      </c>
      <c r="AB30" s="240">
        <f t="shared" si="12"/>
        <v>1.342281879194631</v>
      </c>
    </row>
    <row r="31" spans="1:28" ht="12.75">
      <c r="A31" s="59">
        <v>24</v>
      </c>
      <c r="B31" s="59" t="s">
        <v>30</v>
      </c>
      <c r="C31" s="102" t="s">
        <v>3</v>
      </c>
      <c r="D31" s="102">
        <f t="shared" si="13"/>
        <v>1310720</v>
      </c>
      <c r="E31" s="54">
        <f t="shared" si="0"/>
        <v>1.31072</v>
      </c>
      <c r="F31" s="101">
        <v>17</v>
      </c>
      <c r="G31" s="56">
        <v>140.97560975609755</v>
      </c>
      <c r="H31" s="103">
        <v>190</v>
      </c>
      <c r="I31" s="103">
        <v>167</v>
      </c>
      <c r="J31" s="104">
        <v>23.1</v>
      </c>
      <c r="K31" s="105">
        <v>24.9</v>
      </c>
      <c r="L31" s="398">
        <f>VLOOKUP($A31,'Master Data'!$A$3:$AP$151,42,1)</f>
        <v>200</v>
      </c>
      <c r="M31" s="399">
        <f>VLOOKUP($A31,'Master Data'!$A$3:$AP$151,41,1)</f>
        <v>23.584238972201295</v>
      </c>
      <c r="N31" s="380"/>
      <c r="O31" s="381"/>
      <c r="P31" s="299">
        <v>2</v>
      </c>
      <c r="Q31" s="299">
        <v>1</v>
      </c>
      <c r="R31" s="58">
        <f>IF(E31&lt;1.1,'Proposed Spec Lines'!D$3+'Proposed Spec Lines'!D$4*'Spec Analysis_ScreenSize'!E31+'Proposed Spec Lines'!D$5*'Spec Analysis_ScreenSize'!G31,'Proposed Spec Lines'!C$3+'Proposed Spec Lines'!C$4*'Spec Analysis_ScreenSize'!E31+'Proposed Spec Lines'!C$5*'Spec Analysis_ScreenSize'!G31)</f>
        <v>21.84526048780488</v>
      </c>
      <c r="S31" s="70">
        <f t="shared" si="1"/>
        <v>0</v>
      </c>
      <c r="T31" s="70">
        <f t="shared" si="11"/>
        <v>0</v>
      </c>
      <c r="U31" s="212">
        <f t="shared" si="3"/>
        <v>23.584238972201295</v>
      </c>
      <c r="V31" s="212">
        <f t="shared" si="4"/>
        <v>21.84526048780488</v>
      </c>
      <c r="W31" s="13">
        <f t="shared" si="5"/>
        <v>0</v>
      </c>
      <c r="X31" s="13">
        <f t="shared" si="6"/>
        <v>0</v>
      </c>
      <c r="Y31" s="13">
        <f t="shared" si="7"/>
        <v>0</v>
      </c>
      <c r="Z31" s="13">
        <f t="shared" si="8"/>
        <v>0</v>
      </c>
      <c r="AB31" s="240">
        <f t="shared" si="12"/>
        <v>1.1976047904191616</v>
      </c>
    </row>
    <row r="32" spans="1:28" ht="12.75">
      <c r="A32" s="63">
        <v>25</v>
      </c>
      <c r="B32" s="59" t="s">
        <v>30</v>
      </c>
      <c r="C32" s="102" t="s">
        <v>3</v>
      </c>
      <c r="D32" s="102">
        <f t="shared" si="13"/>
        <v>1310720</v>
      </c>
      <c r="E32" s="54">
        <f t="shared" si="0"/>
        <v>1.31072</v>
      </c>
      <c r="F32" s="101">
        <v>17</v>
      </c>
      <c r="G32" s="56">
        <v>140.97560975609755</v>
      </c>
      <c r="H32" s="106">
        <v>201</v>
      </c>
      <c r="I32" s="106">
        <v>153</v>
      </c>
      <c r="J32" s="105">
        <v>15.5</v>
      </c>
      <c r="K32" s="105">
        <v>17.2</v>
      </c>
      <c r="L32" s="398">
        <f>VLOOKUP($A32,'Master Data'!$A$3:$AP$151,42,1)</f>
        <v>200</v>
      </c>
      <c r="M32" s="399">
        <f>VLOOKUP($A32,'Master Data'!$A$3:$AP$151,41,1)</f>
        <v>16.287918201915993</v>
      </c>
      <c r="N32" s="105">
        <v>0.69</v>
      </c>
      <c r="O32" s="105">
        <v>0.52</v>
      </c>
      <c r="P32" s="299">
        <v>2</v>
      </c>
      <c r="Q32" s="299">
        <v>1</v>
      </c>
      <c r="R32" s="58">
        <f>IF(E32&lt;1.1,'Proposed Spec Lines'!D$3+'Proposed Spec Lines'!D$4*'Spec Analysis_ScreenSize'!E32+'Proposed Spec Lines'!D$5*'Spec Analysis_ScreenSize'!G32,'Proposed Spec Lines'!C$3+'Proposed Spec Lines'!C$4*'Spec Analysis_ScreenSize'!E32+'Proposed Spec Lines'!C$5*'Spec Analysis_ScreenSize'!G32)</f>
        <v>21.84526048780488</v>
      </c>
      <c r="S32" s="70">
        <f t="shared" si="1"/>
        <v>1</v>
      </c>
      <c r="T32" s="70">
        <f t="shared" si="11"/>
        <v>1</v>
      </c>
      <c r="U32" s="212">
        <f t="shared" si="3"/>
        <v>16.287918201915993</v>
      </c>
      <c r="V32" s="212">
        <f t="shared" si="4"/>
        <v>16.287918201915993</v>
      </c>
      <c r="W32" s="13">
        <f t="shared" si="5"/>
        <v>0.69</v>
      </c>
      <c r="X32" s="13">
        <f t="shared" si="6"/>
        <v>0.69</v>
      </c>
      <c r="Y32" s="13">
        <f t="shared" si="7"/>
        <v>0.52</v>
      </c>
      <c r="Z32" s="13">
        <f t="shared" si="8"/>
        <v>0.52</v>
      </c>
      <c r="AB32" s="240">
        <f t="shared" si="12"/>
        <v>1.3071895424836601</v>
      </c>
    </row>
    <row r="33" spans="1:28" ht="12.75">
      <c r="A33" s="59">
        <v>26</v>
      </c>
      <c r="B33" s="59" t="s">
        <v>30</v>
      </c>
      <c r="C33" s="102" t="s">
        <v>3</v>
      </c>
      <c r="D33" s="102">
        <f t="shared" si="13"/>
        <v>1310720</v>
      </c>
      <c r="E33" s="54">
        <f t="shared" si="0"/>
        <v>1.31072</v>
      </c>
      <c r="F33" s="101">
        <v>17</v>
      </c>
      <c r="G33" s="56">
        <v>140.97560975609755</v>
      </c>
      <c r="H33" s="103">
        <v>175</v>
      </c>
      <c r="I33" s="103"/>
      <c r="J33" s="104">
        <v>15.4</v>
      </c>
      <c r="K33" s="104"/>
      <c r="L33" s="398">
        <f>VLOOKUP($A33,'Master Data'!$A$3:$AP$151,42,1)</f>
        <v>200</v>
      </c>
      <c r="M33" s="399">
        <f>VLOOKUP($A33,'Master Data'!$A$3:$AP$151,41,1)</f>
        <v>16.47492165139924</v>
      </c>
      <c r="N33" s="104">
        <v>0.72</v>
      </c>
      <c r="O33" s="104">
        <v>0.5</v>
      </c>
      <c r="P33" s="299">
        <v>2</v>
      </c>
      <c r="Q33" s="299">
        <v>1</v>
      </c>
      <c r="R33" s="58">
        <f>IF(E33&lt;1.1,'Proposed Spec Lines'!D$3+'Proposed Spec Lines'!D$4*'Spec Analysis_ScreenSize'!E33+'Proposed Spec Lines'!D$5*'Spec Analysis_ScreenSize'!G33,'Proposed Spec Lines'!C$3+'Proposed Spec Lines'!C$4*'Spec Analysis_ScreenSize'!E33+'Proposed Spec Lines'!C$5*'Spec Analysis_ScreenSize'!G33)</f>
        <v>21.84526048780488</v>
      </c>
      <c r="S33" s="70">
        <f t="shared" si="1"/>
        <v>1</v>
      </c>
      <c r="T33" s="70">
        <f t="shared" si="11"/>
        <v>1</v>
      </c>
      <c r="U33" s="212">
        <f t="shared" si="3"/>
        <v>16.47492165139924</v>
      </c>
      <c r="V33" s="212">
        <f t="shared" si="4"/>
        <v>16.47492165139924</v>
      </c>
      <c r="W33" s="13">
        <f t="shared" si="5"/>
        <v>0.72</v>
      </c>
      <c r="X33" s="13">
        <f t="shared" si="6"/>
        <v>0.72</v>
      </c>
      <c r="Y33" s="13">
        <f t="shared" si="7"/>
        <v>0.5</v>
      </c>
      <c r="Z33" s="13">
        <f t="shared" si="8"/>
        <v>0.5</v>
      </c>
      <c r="AB33" s="240">
        <f>200/175</f>
        <v>1.1428571428571428</v>
      </c>
    </row>
    <row r="34" spans="1:28" ht="12.75">
      <c r="A34" s="59">
        <v>44</v>
      </c>
      <c r="B34" s="59" t="s">
        <v>30</v>
      </c>
      <c r="C34" s="107" t="s">
        <v>3</v>
      </c>
      <c r="D34" s="107">
        <f t="shared" si="13"/>
        <v>1310720</v>
      </c>
      <c r="E34" s="54">
        <f aca="true" t="shared" si="14" ref="E34:E65">D34/10^6</f>
        <v>1.31072</v>
      </c>
      <c r="F34" s="101">
        <v>17</v>
      </c>
      <c r="G34" s="56">
        <v>141.51200000000003</v>
      </c>
      <c r="H34" s="108">
        <v>175</v>
      </c>
      <c r="I34" s="108">
        <v>251</v>
      </c>
      <c r="J34" s="109">
        <v>23.8</v>
      </c>
      <c r="K34" s="109">
        <v>29.2</v>
      </c>
      <c r="L34" s="398">
        <f>VLOOKUP($A34,'Master Data'!$A$3:$AP$151,42,1)</f>
        <v>200</v>
      </c>
      <c r="M34" s="399">
        <f>VLOOKUP($A34,'Master Data'!$A$3:$AP$151,41,1)</f>
        <v>24.956445452764903</v>
      </c>
      <c r="N34" s="109">
        <v>0.73</v>
      </c>
      <c r="O34" s="109">
        <v>0.5</v>
      </c>
      <c r="P34" s="299">
        <v>2</v>
      </c>
      <c r="Q34" s="299">
        <v>1</v>
      </c>
      <c r="R34" s="58">
        <f>IF(E34&lt;1.1,'Proposed Spec Lines'!D$3+'Proposed Spec Lines'!D$4*'Spec Analysis_ScreenSize'!E34+'Proposed Spec Lines'!D$5*'Spec Analysis_ScreenSize'!G34,'Proposed Spec Lines'!C$3+'Proposed Spec Lines'!C$4*'Spec Analysis_ScreenSize'!E34+'Proposed Spec Lines'!C$5*'Spec Analysis_ScreenSize'!G34)</f>
        <v>21.872080000000004</v>
      </c>
      <c r="S34" s="70">
        <f aca="true" t="shared" si="15" ref="S34:S65">IF(R34&gt;=M34,1,0)</f>
        <v>0</v>
      </c>
      <c r="T34" s="70">
        <f t="shared" si="11"/>
        <v>0</v>
      </c>
      <c r="U34" s="212">
        <f t="shared" si="3"/>
        <v>24.956445452764903</v>
      </c>
      <c r="V34" s="212">
        <f t="shared" si="4"/>
        <v>21.872080000000004</v>
      </c>
      <c r="W34" s="13">
        <f t="shared" si="5"/>
        <v>0.73</v>
      </c>
      <c r="X34" s="13">
        <f t="shared" si="6"/>
        <v>0.73</v>
      </c>
      <c r="Y34" s="13">
        <f t="shared" si="7"/>
        <v>0.5</v>
      </c>
      <c r="Z34" s="13">
        <f t="shared" si="8"/>
        <v>0.5</v>
      </c>
      <c r="AB34" s="240">
        <f t="shared" si="12"/>
        <v>0.796812749003984</v>
      </c>
    </row>
    <row r="35" spans="1:28" ht="12.75">
      <c r="A35" s="59">
        <v>84</v>
      </c>
      <c r="B35" s="59" t="s">
        <v>30</v>
      </c>
      <c r="C35" s="59" t="s">
        <v>3</v>
      </c>
      <c r="D35" s="59">
        <f t="shared" si="13"/>
        <v>1310720</v>
      </c>
      <c r="E35" s="54">
        <f t="shared" si="14"/>
        <v>1.31072</v>
      </c>
      <c r="F35" s="101">
        <v>17</v>
      </c>
      <c r="G35" s="56">
        <v>178.10982508633504</v>
      </c>
      <c r="H35" s="106">
        <v>178</v>
      </c>
      <c r="I35" s="106">
        <v>254</v>
      </c>
      <c r="J35" s="105">
        <v>20.3</v>
      </c>
      <c r="K35" s="105">
        <v>27.6</v>
      </c>
      <c r="L35" s="398">
        <f>VLOOKUP($A35,'Master Data'!$A$3:$AP$151,42,1)</f>
        <v>200</v>
      </c>
      <c r="M35" s="399">
        <f>VLOOKUP($A35,'Master Data'!$A$3:$AP$151,41,1)</f>
        <v>23.90199416848902</v>
      </c>
      <c r="N35" s="105">
        <v>0.72</v>
      </c>
      <c r="O35" s="105">
        <v>0.7</v>
      </c>
      <c r="P35" s="299">
        <v>2</v>
      </c>
      <c r="Q35" s="299">
        <v>1</v>
      </c>
      <c r="R35" s="58">
        <f>IF(E35&lt;1.1,'Proposed Spec Lines'!D$3+'Proposed Spec Lines'!D$4*'Spec Analysis_ScreenSize'!E35+'Proposed Spec Lines'!D$5*'Spec Analysis_ScreenSize'!G35,'Proposed Spec Lines'!C$3+'Proposed Spec Lines'!C$4*'Spec Analysis_ScreenSize'!E35+'Proposed Spec Lines'!C$5*'Spec Analysis_ScreenSize'!G35)</f>
        <v>23.701971254316753</v>
      </c>
      <c r="S35" s="70">
        <f t="shared" si="15"/>
        <v>0</v>
      </c>
      <c r="T35" s="70">
        <f t="shared" si="11"/>
        <v>0</v>
      </c>
      <c r="U35" s="212">
        <f t="shared" si="3"/>
        <v>23.90199416848902</v>
      </c>
      <c r="V35" s="212">
        <f t="shared" si="4"/>
        <v>23.701971254316753</v>
      </c>
      <c r="W35" s="13">
        <f t="shared" si="5"/>
        <v>0.72</v>
      </c>
      <c r="X35" s="13">
        <f t="shared" si="6"/>
        <v>0.72</v>
      </c>
      <c r="Y35" s="13">
        <f t="shared" si="7"/>
        <v>0.7</v>
      </c>
      <c r="Z35" s="13">
        <f t="shared" si="8"/>
        <v>0.7</v>
      </c>
      <c r="AB35" s="240">
        <f t="shared" si="12"/>
        <v>0.7874015748031497</v>
      </c>
    </row>
    <row r="36" spans="1:28" ht="12.75">
      <c r="A36" s="63">
        <v>101</v>
      </c>
      <c r="B36" s="59" t="s">
        <v>30</v>
      </c>
      <c r="C36" s="110" t="s">
        <v>3</v>
      </c>
      <c r="D36" s="110">
        <f t="shared" si="13"/>
        <v>1310720</v>
      </c>
      <c r="E36" s="54">
        <f t="shared" si="14"/>
        <v>1.31072</v>
      </c>
      <c r="F36" s="101">
        <v>17</v>
      </c>
      <c r="G36" s="56">
        <v>140.98</v>
      </c>
      <c r="H36" s="111">
        <v>175</v>
      </c>
      <c r="I36" s="111">
        <v>220</v>
      </c>
      <c r="J36" s="112">
        <v>23</v>
      </c>
      <c r="K36" s="112">
        <v>26.1</v>
      </c>
      <c r="L36" s="398">
        <f>VLOOKUP($A36,'Master Data'!$A$3:$AP$151,42,1)</f>
        <v>200</v>
      </c>
      <c r="M36" s="399">
        <f>VLOOKUP($A36,'Master Data'!$A$3:$AP$151,41,1)</f>
        <v>24.84520737282693</v>
      </c>
      <c r="N36" s="112">
        <v>0.72</v>
      </c>
      <c r="O36" s="112">
        <v>0.7</v>
      </c>
      <c r="P36" s="299">
        <v>2</v>
      </c>
      <c r="Q36" s="299">
        <v>1</v>
      </c>
      <c r="R36" s="58">
        <f>IF(E36&lt;1.1,'Proposed Spec Lines'!D$3+'Proposed Spec Lines'!D$4*'Spec Analysis_ScreenSize'!E36+'Proposed Spec Lines'!D$5*'Spec Analysis_ScreenSize'!G36,'Proposed Spec Lines'!C$3+'Proposed Spec Lines'!C$4*'Spec Analysis_ScreenSize'!E36+'Proposed Spec Lines'!C$5*'Spec Analysis_ScreenSize'!G36)</f>
        <v>21.845480000000002</v>
      </c>
      <c r="S36" s="70">
        <f t="shared" si="15"/>
        <v>0</v>
      </c>
      <c r="T36" s="70">
        <f t="shared" si="11"/>
        <v>0</v>
      </c>
      <c r="U36" s="212">
        <f t="shared" si="3"/>
        <v>24.84520737282693</v>
      </c>
      <c r="V36" s="212">
        <f t="shared" si="4"/>
        <v>21.845480000000002</v>
      </c>
      <c r="W36" s="13">
        <f t="shared" si="5"/>
        <v>0.72</v>
      </c>
      <c r="X36" s="13">
        <f t="shared" si="6"/>
        <v>0.72</v>
      </c>
      <c r="Y36" s="13">
        <f t="shared" si="7"/>
        <v>0.7</v>
      </c>
      <c r="Z36" s="13">
        <f t="shared" si="8"/>
        <v>0.7</v>
      </c>
      <c r="AB36" s="240">
        <f t="shared" si="12"/>
        <v>0.9090909090909091</v>
      </c>
    </row>
    <row r="37" spans="1:28" ht="12.75">
      <c r="A37" s="59">
        <v>102</v>
      </c>
      <c r="B37" s="59" t="s">
        <v>30</v>
      </c>
      <c r="C37" s="110" t="s">
        <v>3</v>
      </c>
      <c r="D37" s="110">
        <f t="shared" si="13"/>
        <v>1310720</v>
      </c>
      <c r="E37" s="54">
        <f t="shared" si="14"/>
        <v>1.31072</v>
      </c>
      <c r="F37" s="101">
        <v>17</v>
      </c>
      <c r="G37" s="56">
        <v>140.98</v>
      </c>
      <c r="H37" s="111">
        <v>175</v>
      </c>
      <c r="I37" s="111">
        <v>190</v>
      </c>
      <c r="J37" s="112">
        <v>24.7</v>
      </c>
      <c r="K37" s="112">
        <v>26.1</v>
      </c>
      <c r="L37" s="398">
        <f>VLOOKUP($A37,'Master Data'!$A$3:$AP$151,42,1)</f>
        <v>200</v>
      </c>
      <c r="M37" s="399">
        <f>VLOOKUP($A37,'Master Data'!$A$3:$AP$151,41,1)</f>
        <v>27.19731779623529</v>
      </c>
      <c r="N37" s="112">
        <v>0.69</v>
      </c>
      <c r="O37" s="112">
        <v>0.6</v>
      </c>
      <c r="P37" s="299">
        <v>2</v>
      </c>
      <c r="Q37" s="299">
        <v>1</v>
      </c>
      <c r="R37" s="58">
        <f>IF(E37&lt;1.1,'Proposed Spec Lines'!D$3+'Proposed Spec Lines'!D$4*'Spec Analysis_ScreenSize'!E37+'Proposed Spec Lines'!D$5*'Spec Analysis_ScreenSize'!G37,'Proposed Spec Lines'!C$3+'Proposed Spec Lines'!C$4*'Spec Analysis_ScreenSize'!E37+'Proposed Spec Lines'!C$5*'Spec Analysis_ScreenSize'!G37)</f>
        <v>21.845480000000002</v>
      </c>
      <c r="S37" s="70">
        <f t="shared" si="15"/>
        <v>0</v>
      </c>
      <c r="T37" s="70">
        <f t="shared" si="11"/>
        <v>0</v>
      </c>
      <c r="U37" s="212">
        <f t="shared" si="3"/>
        <v>27.19731779623529</v>
      </c>
      <c r="V37" s="212">
        <f t="shared" si="4"/>
        <v>21.845480000000002</v>
      </c>
      <c r="W37" s="13">
        <f t="shared" si="5"/>
        <v>0.69</v>
      </c>
      <c r="X37" s="13">
        <f t="shared" si="6"/>
        <v>0.69</v>
      </c>
      <c r="Y37" s="13">
        <f t="shared" si="7"/>
        <v>0.6</v>
      </c>
      <c r="Z37" s="13">
        <f t="shared" si="8"/>
        <v>0.6</v>
      </c>
      <c r="AB37" s="240">
        <f t="shared" si="12"/>
        <v>1.0526315789473684</v>
      </c>
    </row>
    <row r="38" spans="1:28" ht="12.75">
      <c r="A38" s="59">
        <v>116</v>
      </c>
      <c r="B38" s="59" t="s">
        <v>30</v>
      </c>
      <c r="C38" s="107" t="s">
        <v>8</v>
      </c>
      <c r="D38" s="107">
        <f t="shared" si="13"/>
        <v>1310720</v>
      </c>
      <c r="E38" s="54">
        <f t="shared" si="14"/>
        <v>1.31072</v>
      </c>
      <c r="F38" s="101">
        <v>17</v>
      </c>
      <c r="G38" s="56">
        <v>141.5957919275839</v>
      </c>
      <c r="H38" s="108">
        <v>175</v>
      </c>
      <c r="I38" s="108">
        <v>246</v>
      </c>
      <c r="J38" s="109">
        <v>20.5</v>
      </c>
      <c r="K38" s="109">
        <v>25.6</v>
      </c>
      <c r="L38" s="398">
        <f>VLOOKUP($A38,'Master Data'!$A$3:$AP$151,42,1)</f>
        <v>200</v>
      </c>
      <c r="M38" s="399">
        <f>VLOOKUP($A38,'Master Data'!$A$3:$AP$151,41,1)</f>
        <v>22.26643131653294</v>
      </c>
      <c r="N38" s="109">
        <v>0.94</v>
      </c>
      <c r="O38" s="109">
        <v>0.75</v>
      </c>
      <c r="P38" s="299">
        <v>2</v>
      </c>
      <c r="Q38" s="299">
        <v>1</v>
      </c>
      <c r="R38" s="58">
        <f>IF(E38&lt;1.1,'Proposed Spec Lines'!D$3+'Proposed Spec Lines'!D$4*'Spec Analysis_ScreenSize'!E38+'Proposed Spec Lines'!D$5*'Spec Analysis_ScreenSize'!G38,'Proposed Spec Lines'!C$3+'Proposed Spec Lines'!C$4*'Spec Analysis_ScreenSize'!E38+'Proposed Spec Lines'!C$5*'Spec Analysis_ScreenSize'!G38)</f>
        <v>21.876269596379196</v>
      </c>
      <c r="S38" s="70">
        <f t="shared" si="15"/>
        <v>0</v>
      </c>
      <c r="T38" s="70">
        <f t="shared" si="11"/>
        <v>0</v>
      </c>
      <c r="U38" s="212">
        <f t="shared" si="3"/>
        <v>22.26643131653294</v>
      </c>
      <c r="V38" s="212">
        <f t="shared" si="4"/>
        <v>21.876269596379196</v>
      </c>
      <c r="W38" s="13">
        <f t="shared" si="5"/>
        <v>0.94</v>
      </c>
      <c r="X38" s="13">
        <f t="shared" si="6"/>
        <v>0.94</v>
      </c>
      <c r="Y38" s="13">
        <f t="shared" si="7"/>
        <v>0.75</v>
      </c>
      <c r="Z38" s="13">
        <f t="shared" si="8"/>
        <v>0.75</v>
      </c>
      <c r="AB38" s="240">
        <f t="shared" si="12"/>
        <v>0.8130081300813008</v>
      </c>
    </row>
    <row r="39" spans="1:28" ht="12.75">
      <c r="A39" s="59">
        <v>132</v>
      </c>
      <c r="B39" s="59" t="s">
        <v>30</v>
      </c>
      <c r="C39" s="68" t="s">
        <v>8</v>
      </c>
      <c r="D39" s="68">
        <f t="shared" si="13"/>
        <v>1310720</v>
      </c>
      <c r="E39" s="54">
        <f t="shared" si="14"/>
        <v>1.31072</v>
      </c>
      <c r="F39" s="101">
        <v>17</v>
      </c>
      <c r="G39" s="56">
        <v>141.5957919275839</v>
      </c>
      <c r="H39" s="67">
        <v>175</v>
      </c>
      <c r="I39" s="67">
        <v>246</v>
      </c>
      <c r="J39" s="69">
        <v>20.5</v>
      </c>
      <c r="K39" s="69">
        <v>25.6</v>
      </c>
      <c r="L39" s="398">
        <f>VLOOKUP($A39,'Master Data'!$A$3:$AP$151,42,1)</f>
        <v>174.38</v>
      </c>
      <c r="M39" s="399">
        <f>VLOOKUP($A39,'Master Data'!$A$3:$AP$151,41,1)</f>
        <v>20.433145053226355</v>
      </c>
      <c r="N39" s="69">
        <v>0.65</v>
      </c>
      <c r="O39" s="69">
        <v>0.57</v>
      </c>
      <c r="P39" s="299">
        <v>2</v>
      </c>
      <c r="Q39" s="299">
        <v>1</v>
      </c>
      <c r="R39" s="58">
        <f>IF(E39&lt;1.1,'Proposed Spec Lines'!D$3+'Proposed Spec Lines'!D$4*'Spec Analysis_ScreenSize'!E39+'Proposed Spec Lines'!D$5*'Spec Analysis_ScreenSize'!G39,'Proposed Spec Lines'!C$3+'Proposed Spec Lines'!C$4*'Spec Analysis_ScreenSize'!E39+'Proposed Spec Lines'!C$5*'Spec Analysis_ScreenSize'!G39)</f>
        <v>21.876269596379196</v>
      </c>
      <c r="S39" s="70">
        <f t="shared" si="15"/>
        <v>1</v>
      </c>
      <c r="T39" s="70">
        <f t="shared" si="11"/>
        <v>1</v>
      </c>
      <c r="U39" s="212">
        <f t="shared" si="3"/>
        <v>20.433145053226355</v>
      </c>
      <c r="V39" s="212">
        <f t="shared" si="4"/>
        <v>20.433145053226355</v>
      </c>
      <c r="W39" s="13">
        <f t="shared" si="5"/>
        <v>0.65</v>
      </c>
      <c r="X39" s="13">
        <f t="shared" si="6"/>
        <v>0.65</v>
      </c>
      <c r="Y39" s="13">
        <f t="shared" si="7"/>
        <v>0.57</v>
      </c>
      <c r="Z39" s="13">
        <f t="shared" si="8"/>
        <v>0.57</v>
      </c>
      <c r="AB39" s="240">
        <f t="shared" si="12"/>
        <v>0.8130081300813008</v>
      </c>
    </row>
    <row r="40" spans="1:28" ht="12.75">
      <c r="A40" s="63">
        <v>142</v>
      </c>
      <c r="B40" s="59" t="s">
        <v>30</v>
      </c>
      <c r="C40" s="68" t="s">
        <v>3</v>
      </c>
      <c r="D40" s="68">
        <f t="shared" si="13"/>
        <v>1310720</v>
      </c>
      <c r="E40" s="54">
        <f t="shared" si="14"/>
        <v>1.31072</v>
      </c>
      <c r="F40" s="101">
        <v>17</v>
      </c>
      <c r="G40" s="56">
        <v>141.55388976377955</v>
      </c>
      <c r="H40" s="61">
        <v>174.4</v>
      </c>
      <c r="I40" s="61">
        <v>172.4</v>
      </c>
      <c r="J40" s="62">
        <v>27.4</v>
      </c>
      <c r="K40" s="62">
        <v>27.9</v>
      </c>
      <c r="L40" s="398">
        <f>VLOOKUP($A40,'Master Data'!$A$3:$AP$151,42,1)</f>
        <v>200</v>
      </c>
      <c r="M40" s="399">
        <f>VLOOKUP($A40,'Master Data'!$A$3:$AP$151,41,1)</f>
        <v>27.79690232721038</v>
      </c>
      <c r="N40" s="62">
        <v>0.7</v>
      </c>
      <c r="O40" s="62">
        <v>0.6</v>
      </c>
      <c r="P40" s="299">
        <v>2</v>
      </c>
      <c r="Q40" s="299">
        <v>1</v>
      </c>
      <c r="R40" s="58">
        <f>IF(E40&lt;1.1,'Proposed Spec Lines'!D$3+'Proposed Spec Lines'!D$4*'Spec Analysis_ScreenSize'!E40+'Proposed Spec Lines'!D$5*'Spec Analysis_ScreenSize'!G40,'Proposed Spec Lines'!C$3+'Proposed Spec Lines'!C$4*'Spec Analysis_ScreenSize'!E40+'Proposed Spec Lines'!C$5*'Spec Analysis_ScreenSize'!G40)</f>
        <v>21.874174488188977</v>
      </c>
      <c r="S40" s="70">
        <f t="shared" si="15"/>
        <v>0</v>
      </c>
      <c r="T40" s="70">
        <f t="shared" si="11"/>
        <v>0</v>
      </c>
      <c r="U40" s="212">
        <f t="shared" si="3"/>
        <v>27.79690232721038</v>
      </c>
      <c r="V40" s="212">
        <f t="shared" si="4"/>
        <v>21.874174488188977</v>
      </c>
      <c r="W40" s="13">
        <f t="shared" si="5"/>
        <v>0.7</v>
      </c>
      <c r="X40" s="13">
        <f t="shared" si="6"/>
        <v>0.7</v>
      </c>
      <c r="Y40" s="13">
        <f t="shared" si="7"/>
        <v>0.6</v>
      </c>
      <c r="Z40" s="13">
        <f t="shared" si="8"/>
        <v>0.6</v>
      </c>
      <c r="AB40" s="240">
        <f t="shared" si="12"/>
        <v>1.160092807424594</v>
      </c>
    </row>
    <row r="41" spans="1:28" ht="12.75">
      <c r="A41" s="52">
        <v>143</v>
      </c>
      <c r="B41" s="59" t="s">
        <v>30</v>
      </c>
      <c r="C41" s="68" t="s">
        <v>3</v>
      </c>
      <c r="D41" s="68">
        <f t="shared" si="13"/>
        <v>1310720</v>
      </c>
      <c r="E41" s="54">
        <f t="shared" si="14"/>
        <v>1.31072</v>
      </c>
      <c r="F41" s="101">
        <v>17</v>
      </c>
      <c r="G41" s="56">
        <v>141.55388976377955</v>
      </c>
      <c r="H41" s="61">
        <v>174.4</v>
      </c>
      <c r="I41" s="61">
        <v>225.9</v>
      </c>
      <c r="J41" s="62">
        <v>22</v>
      </c>
      <c r="K41" s="62">
        <v>26.4</v>
      </c>
      <c r="L41" s="398">
        <f>VLOOKUP($A41,'Master Data'!$A$3:$AP$151,42,1)</f>
        <v>200</v>
      </c>
      <c r="M41" s="399">
        <f>VLOOKUP($A41,'Master Data'!$A$3:$AP$151,41,1)</f>
        <v>23.51309054665498</v>
      </c>
      <c r="N41" s="62">
        <v>1.2</v>
      </c>
      <c r="O41" s="62">
        <v>1</v>
      </c>
      <c r="P41" s="299">
        <v>2</v>
      </c>
      <c r="Q41" s="299">
        <v>1</v>
      </c>
      <c r="R41" s="58">
        <f>IF(E41&lt;1.1,'Proposed Spec Lines'!D$3+'Proposed Spec Lines'!D$4*'Spec Analysis_ScreenSize'!E41+'Proposed Spec Lines'!D$5*'Spec Analysis_ScreenSize'!G41,'Proposed Spec Lines'!C$3+'Proposed Spec Lines'!C$4*'Spec Analysis_ScreenSize'!E41+'Proposed Spec Lines'!C$5*'Spec Analysis_ScreenSize'!G41)</f>
        <v>21.874174488188977</v>
      </c>
      <c r="S41" s="70">
        <f t="shared" si="15"/>
        <v>0</v>
      </c>
      <c r="T41" s="70">
        <f t="shared" si="11"/>
        <v>0</v>
      </c>
      <c r="U41" s="212">
        <f t="shared" si="3"/>
        <v>23.51309054665498</v>
      </c>
      <c r="V41" s="212">
        <f t="shared" si="4"/>
        <v>21.874174488188977</v>
      </c>
      <c r="W41" s="13">
        <f t="shared" si="5"/>
        <v>1.2</v>
      </c>
      <c r="X41" s="13">
        <f t="shared" si="6"/>
        <v>1.2</v>
      </c>
      <c r="Y41" s="13">
        <f t="shared" si="7"/>
        <v>1</v>
      </c>
      <c r="Z41" s="13">
        <f t="shared" si="8"/>
        <v>1</v>
      </c>
      <c r="AB41" s="240">
        <f t="shared" si="12"/>
        <v>0.8853474988933157</v>
      </c>
    </row>
    <row r="42" spans="1:28" ht="12.75">
      <c r="A42" s="59">
        <v>144</v>
      </c>
      <c r="B42" s="59" t="s">
        <v>30</v>
      </c>
      <c r="C42" s="60" t="s">
        <v>3</v>
      </c>
      <c r="D42" s="60">
        <f t="shared" si="13"/>
        <v>1310720</v>
      </c>
      <c r="E42" s="54">
        <f t="shared" si="14"/>
        <v>1.31072</v>
      </c>
      <c r="F42" s="101">
        <v>17</v>
      </c>
      <c r="G42" s="56">
        <v>164.75796701593407</v>
      </c>
      <c r="H42" s="61">
        <v>175.6</v>
      </c>
      <c r="I42" s="61">
        <v>251.3</v>
      </c>
      <c r="J42" s="62">
        <v>21.1</v>
      </c>
      <c r="K42" s="62">
        <v>26.5</v>
      </c>
      <c r="L42" s="398">
        <f>VLOOKUP($A42,'Master Data'!$A$3:$AP$151,42,1)</f>
        <v>200</v>
      </c>
      <c r="M42" s="399">
        <f>VLOOKUP($A42,'Master Data'!$A$3:$AP$151,41,1)</f>
        <v>23.32822443267903</v>
      </c>
      <c r="N42" s="62">
        <v>0.9</v>
      </c>
      <c r="O42" s="62">
        <v>0.8</v>
      </c>
      <c r="P42" s="299">
        <v>2</v>
      </c>
      <c r="Q42" s="299">
        <v>1</v>
      </c>
      <c r="R42" s="58">
        <f>IF(E42&lt;1.1,'Proposed Spec Lines'!D$3+'Proposed Spec Lines'!D$4*'Spec Analysis_ScreenSize'!E42+'Proposed Spec Lines'!D$5*'Spec Analysis_ScreenSize'!G42,'Proposed Spec Lines'!C$3+'Proposed Spec Lines'!C$4*'Spec Analysis_ScreenSize'!E42+'Proposed Spec Lines'!C$5*'Spec Analysis_ScreenSize'!G42)</f>
        <v>23.034378350796704</v>
      </c>
      <c r="S42" s="70">
        <f t="shared" si="15"/>
        <v>0</v>
      </c>
      <c r="T42" s="70">
        <f t="shared" si="11"/>
        <v>0</v>
      </c>
      <c r="U42" s="212">
        <f t="shared" si="3"/>
        <v>23.32822443267903</v>
      </c>
      <c r="V42" s="212">
        <f t="shared" si="4"/>
        <v>23.034378350796704</v>
      </c>
      <c r="W42" s="13">
        <f t="shared" si="5"/>
        <v>0.9</v>
      </c>
      <c r="X42" s="13">
        <f t="shared" si="6"/>
        <v>0.9</v>
      </c>
      <c r="Y42" s="13">
        <f t="shared" si="7"/>
        <v>0.8</v>
      </c>
      <c r="Z42" s="13">
        <f t="shared" si="8"/>
        <v>0.8</v>
      </c>
      <c r="AB42" s="240">
        <f t="shared" si="12"/>
        <v>0.7958615200955034</v>
      </c>
    </row>
    <row r="43" spans="1:28" ht="12.75">
      <c r="A43" s="59">
        <v>145</v>
      </c>
      <c r="B43" s="59" t="s">
        <v>30</v>
      </c>
      <c r="C43" s="68" t="s">
        <v>3</v>
      </c>
      <c r="D43" s="68">
        <f t="shared" si="13"/>
        <v>1310720</v>
      </c>
      <c r="E43" s="54">
        <f t="shared" si="14"/>
        <v>1.31072</v>
      </c>
      <c r="F43" s="101">
        <v>17</v>
      </c>
      <c r="G43" s="56">
        <v>141.5957919275839</v>
      </c>
      <c r="H43" s="61">
        <v>175.4</v>
      </c>
      <c r="I43" s="61">
        <v>182.8</v>
      </c>
      <c r="J43" s="62">
        <v>24</v>
      </c>
      <c r="K43" s="62">
        <v>25.1</v>
      </c>
      <c r="L43" s="398">
        <f>VLOOKUP($A43,'Master Data'!$A$3:$AP$151,42,1)</f>
        <v>200</v>
      </c>
      <c r="M43" s="399">
        <f>VLOOKUP($A43,'Master Data'!$A$3:$AP$151,41,1)</f>
        <v>25.508571649142482</v>
      </c>
      <c r="N43" s="62">
        <v>1.2</v>
      </c>
      <c r="O43" s="62">
        <v>1</v>
      </c>
      <c r="P43" s="299">
        <v>2</v>
      </c>
      <c r="Q43" s="299">
        <v>1</v>
      </c>
      <c r="R43" s="58">
        <f>IF(E43&lt;1.1,'Proposed Spec Lines'!D$3+'Proposed Spec Lines'!D$4*'Spec Analysis_ScreenSize'!E43+'Proposed Spec Lines'!D$5*'Spec Analysis_ScreenSize'!G43,'Proposed Spec Lines'!C$3+'Proposed Spec Lines'!C$4*'Spec Analysis_ScreenSize'!E43+'Proposed Spec Lines'!C$5*'Spec Analysis_ScreenSize'!G43)</f>
        <v>21.876269596379196</v>
      </c>
      <c r="S43" s="70">
        <f t="shared" si="15"/>
        <v>0</v>
      </c>
      <c r="T43" s="70">
        <f t="shared" si="11"/>
        <v>0</v>
      </c>
      <c r="U43" s="212">
        <f t="shared" si="3"/>
        <v>25.508571649142482</v>
      </c>
      <c r="V43" s="212">
        <f t="shared" si="4"/>
        <v>21.876269596379196</v>
      </c>
      <c r="W43" s="13">
        <f t="shared" si="5"/>
        <v>1.2</v>
      </c>
      <c r="X43" s="13">
        <f t="shared" si="6"/>
        <v>1.2</v>
      </c>
      <c r="Y43" s="13">
        <f t="shared" si="7"/>
        <v>1</v>
      </c>
      <c r="Z43" s="13">
        <f t="shared" si="8"/>
        <v>1</v>
      </c>
      <c r="AB43" s="240">
        <f t="shared" si="12"/>
        <v>1.0940919037199124</v>
      </c>
    </row>
    <row r="44" spans="1:28" ht="12.75">
      <c r="A44" s="63">
        <v>66</v>
      </c>
      <c r="B44" s="59" t="s">
        <v>30</v>
      </c>
      <c r="C44" s="113" t="s">
        <v>3</v>
      </c>
      <c r="D44" s="113">
        <f t="shared" si="13"/>
        <v>1310720</v>
      </c>
      <c r="E44" s="54">
        <f t="shared" si="14"/>
        <v>1.31072</v>
      </c>
      <c r="F44" s="101">
        <v>17.037352301679594</v>
      </c>
      <c r="G44" s="56">
        <v>226.6638618025027</v>
      </c>
      <c r="H44" s="114">
        <v>175.2</v>
      </c>
      <c r="I44" s="114">
        <v>226.7</v>
      </c>
      <c r="J44" s="115">
        <v>27.81</v>
      </c>
      <c r="K44" s="115">
        <v>28.29</v>
      </c>
      <c r="L44" s="398">
        <f>VLOOKUP($A44,'Master Data'!$A$3:$AP$151,42,1)</f>
        <v>200</v>
      </c>
      <c r="M44" s="399">
        <f>VLOOKUP($A44,'Master Data'!$A$3:$AP$151,41,1)</f>
        <v>27.52552390302617</v>
      </c>
      <c r="N44" s="115">
        <v>0.855</v>
      </c>
      <c r="O44" s="115">
        <v>0.642</v>
      </c>
      <c r="P44" s="299">
        <v>2</v>
      </c>
      <c r="Q44" s="299">
        <v>1</v>
      </c>
      <c r="R44" s="58">
        <f>IF(E44&lt;1.1,'Proposed Spec Lines'!D$3+'Proposed Spec Lines'!D$4*'Spec Analysis_ScreenSize'!E44+'Proposed Spec Lines'!D$5*'Spec Analysis_ScreenSize'!G44,'Proposed Spec Lines'!C$3+'Proposed Spec Lines'!C$4*'Spec Analysis_ScreenSize'!E44+'Proposed Spec Lines'!C$5*'Spec Analysis_ScreenSize'!G44)</f>
        <v>26.129673090125138</v>
      </c>
      <c r="S44" s="70">
        <f t="shared" si="15"/>
        <v>0</v>
      </c>
      <c r="T44" s="70">
        <f t="shared" si="11"/>
        <v>0</v>
      </c>
      <c r="U44" s="212">
        <f t="shared" si="3"/>
        <v>27.52552390302617</v>
      </c>
      <c r="V44" s="212">
        <f t="shared" si="4"/>
        <v>26.129673090125138</v>
      </c>
      <c r="W44" s="13">
        <f t="shared" si="5"/>
        <v>0.855</v>
      </c>
      <c r="X44" s="13">
        <f t="shared" si="6"/>
        <v>0.855</v>
      </c>
      <c r="Y44" s="13">
        <f t="shared" si="7"/>
        <v>0.642</v>
      </c>
      <c r="Z44" s="13">
        <f t="shared" si="8"/>
        <v>0.642</v>
      </c>
      <c r="AB44" s="240">
        <f t="shared" si="12"/>
        <v>0.882223202470225</v>
      </c>
    </row>
    <row r="45" spans="1:28" ht="12.75">
      <c r="A45" s="59">
        <v>70</v>
      </c>
      <c r="B45" s="59" t="s">
        <v>30</v>
      </c>
      <c r="C45" s="113" t="s">
        <v>3</v>
      </c>
      <c r="D45" s="113">
        <f t="shared" si="13"/>
        <v>1310720</v>
      </c>
      <c r="E45" s="54">
        <f t="shared" si="14"/>
        <v>1.31072</v>
      </c>
      <c r="F45" s="101">
        <v>17.037352301679594</v>
      </c>
      <c r="G45" s="56">
        <v>181.3310894420022</v>
      </c>
      <c r="H45" s="114">
        <v>175.8</v>
      </c>
      <c r="I45" s="114">
        <v>226.7</v>
      </c>
      <c r="J45" s="115">
        <v>23.94</v>
      </c>
      <c r="K45" s="115">
        <v>28.29</v>
      </c>
      <c r="L45" s="398">
        <f>VLOOKUP($A45,'Master Data'!$A$3:$AP$151,42,1)</f>
        <v>200</v>
      </c>
      <c r="M45" s="399">
        <f>VLOOKUP($A45,'Master Data'!$A$3:$AP$151,41,1)</f>
        <v>26.00909157328031</v>
      </c>
      <c r="N45" s="115">
        <v>0.873</v>
      </c>
      <c r="O45" s="115">
        <v>0.657</v>
      </c>
      <c r="P45" s="299">
        <v>2</v>
      </c>
      <c r="Q45" s="299">
        <v>1</v>
      </c>
      <c r="R45" s="58">
        <f>IF(E45&lt;1.1,'Proposed Spec Lines'!D$3+'Proposed Spec Lines'!D$4*'Spec Analysis_ScreenSize'!E45+'Proposed Spec Lines'!D$5*'Spec Analysis_ScreenSize'!G45,'Proposed Spec Lines'!C$3+'Proposed Spec Lines'!C$4*'Spec Analysis_ScreenSize'!E45+'Proposed Spec Lines'!C$5*'Spec Analysis_ScreenSize'!G45)</f>
        <v>23.86303447210011</v>
      </c>
      <c r="S45" s="70">
        <f t="shared" si="15"/>
        <v>0</v>
      </c>
      <c r="T45" s="70">
        <f t="shared" si="11"/>
        <v>0</v>
      </c>
      <c r="U45" s="212">
        <f t="shared" si="3"/>
        <v>26.00909157328031</v>
      </c>
      <c r="V45" s="212">
        <f t="shared" si="4"/>
        <v>23.86303447210011</v>
      </c>
      <c r="W45" s="13">
        <f t="shared" si="5"/>
        <v>0.873</v>
      </c>
      <c r="X45" s="13">
        <f t="shared" si="6"/>
        <v>0.873</v>
      </c>
      <c r="Y45" s="13">
        <f t="shared" si="7"/>
        <v>0.657</v>
      </c>
      <c r="Z45" s="13">
        <f t="shared" si="8"/>
        <v>0.657</v>
      </c>
      <c r="AB45" s="240">
        <f t="shared" si="12"/>
        <v>0.882223202470225</v>
      </c>
    </row>
    <row r="46" spans="1:28" ht="12.75">
      <c r="A46" s="116">
        <v>8</v>
      </c>
      <c r="B46" s="116" t="s">
        <v>30</v>
      </c>
      <c r="C46" s="117" t="s">
        <v>4</v>
      </c>
      <c r="D46" s="117">
        <f aca="true" t="shared" si="16" ref="D46:D60">1440*900</f>
        <v>1296000</v>
      </c>
      <c r="E46" s="118">
        <f t="shared" si="14"/>
        <v>1.296</v>
      </c>
      <c r="F46" s="119">
        <v>19</v>
      </c>
      <c r="G46" s="120">
        <v>144</v>
      </c>
      <c r="H46" s="121">
        <v>174</v>
      </c>
      <c r="I46" s="121">
        <v>182</v>
      </c>
      <c r="J46" s="122">
        <v>34.72</v>
      </c>
      <c r="K46" s="122">
        <v>36.34</v>
      </c>
      <c r="L46" s="400">
        <f>VLOOKUP($A46,'Master Data'!$A$3:$AP$151,42,1)</f>
        <v>160.222</v>
      </c>
      <c r="M46" s="401">
        <f>VLOOKUP($A46,'Master Data'!$A$3:$AP$151,41,1)</f>
        <v>35.55517324079355</v>
      </c>
      <c r="N46" s="122">
        <v>1.02</v>
      </c>
      <c r="O46" s="122">
        <v>0.84</v>
      </c>
      <c r="P46" s="300">
        <v>2</v>
      </c>
      <c r="Q46" s="300">
        <v>1</v>
      </c>
      <c r="R46" s="123">
        <f>IF(E46&lt;1.1,'Proposed Spec Lines'!D$3+'Proposed Spec Lines'!D$4*'Spec Analysis_ScreenSize'!E46+'Proposed Spec Lines'!D$5*'Spec Analysis_ScreenSize'!G46,'Proposed Spec Lines'!C$3+'Proposed Spec Lines'!C$4*'Spec Analysis_ScreenSize'!E46+'Proposed Spec Lines'!C$5*'Spec Analysis_ScreenSize'!G46)</f>
        <v>21.864</v>
      </c>
      <c r="S46" s="124">
        <f t="shared" si="15"/>
        <v>0</v>
      </c>
      <c r="T46" s="124">
        <f t="shared" si="11"/>
        <v>0</v>
      </c>
      <c r="U46" s="212">
        <f t="shared" si="3"/>
        <v>35.55517324079355</v>
      </c>
      <c r="V46" s="212">
        <f t="shared" si="4"/>
        <v>21.864</v>
      </c>
      <c r="W46" s="13">
        <f t="shared" si="5"/>
        <v>1.02</v>
      </c>
      <c r="X46" s="13">
        <f t="shared" si="6"/>
        <v>1.02</v>
      </c>
      <c r="Y46" s="13">
        <f t="shared" si="7"/>
        <v>0.84</v>
      </c>
      <c r="Z46" s="13">
        <f t="shared" si="8"/>
        <v>0.84</v>
      </c>
      <c r="AB46" s="240">
        <f t="shared" si="12"/>
        <v>1.098901098901099</v>
      </c>
    </row>
    <row r="47" spans="1:28" ht="12.75">
      <c r="A47" s="116">
        <v>9</v>
      </c>
      <c r="B47" s="116" t="s">
        <v>30</v>
      </c>
      <c r="C47" s="117" t="s">
        <v>4</v>
      </c>
      <c r="D47" s="117">
        <f t="shared" si="16"/>
        <v>1296000</v>
      </c>
      <c r="E47" s="118">
        <f t="shared" si="14"/>
        <v>1.296</v>
      </c>
      <c r="F47" s="119">
        <v>19</v>
      </c>
      <c r="G47" s="120">
        <v>144</v>
      </c>
      <c r="H47" s="121">
        <v>175</v>
      </c>
      <c r="I47" s="121">
        <v>155</v>
      </c>
      <c r="J47" s="122">
        <v>31.8</v>
      </c>
      <c r="K47" s="122">
        <v>30.8</v>
      </c>
      <c r="L47" s="400">
        <f>VLOOKUP($A47,'Master Data'!$A$3:$AP$151,42,1)</f>
        <v>160.52</v>
      </c>
      <c r="M47" s="401">
        <f>VLOOKUP($A47,'Master Data'!$A$3:$AP$151,41,1)</f>
        <v>30.952141059544168</v>
      </c>
      <c r="N47" s="122">
        <v>1.1</v>
      </c>
      <c r="O47" s="122">
        <v>0.91</v>
      </c>
      <c r="P47" s="300">
        <v>2</v>
      </c>
      <c r="Q47" s="300">
        <v>1</v>
      </c>
      <c r="R47" s="123">
        <f>IF(E47&lt;1.1,'Proposed Spec Lines'!D$3+'Proposed Spec Lines'!D$4*'Spec Analysis_ScreenSize'!E47+'Proposed Spec Lines'!D$5*'Spec Analysis_ScreenSize'!G47,'Proposed Spec Lines'!C$3+'Proposed Spec Lines'!C$4*'Spec Analysis_ScreenSize'!E47+'Proposed Spec Lines'!C$5*'Spec Analysis_ScreenSize'!G47)</f>
        <v>21.864</v>
      </c>
      <c r="S47" s="124">
        <f t="shared" si="15"/>
        <v>0</v>
      </c>
      <c r="T47" s="124">
        <f t="shared" si="11"/>
        <v>0</v>
      </c>
      <c r="U47" s="212">
        <f t="shared" si="3"/>
        <v>30.952141059544168</v>
      </c>
      <c r="V47" s="212">
        <f t="shared" si="4"/>
        <v>21.864</v>
      </c>
      <c r="W47" s="13">
        <f t="shared" si="5"/>
        <v>1.1</v>
      </c>
      <c r="X47" s="13">
        <f t="shared" si="6"/>
        <v>1.1</v>
      </c>
      <c r="Y47" s="13">
        <f t="shared" si="7"/>
        <v>0.91</v>
      </c>
      <c r="Z47" s="13">
        <f t="shared" si="8"/>
        <v>0.91</v>
      </c>
      <c r="AB47" s="240">
        <f t="shared" si="12"/>
        <v>1.2903225806451613</v>
      </c>
    </row>
    <row r="48" spans="1:28" ht="12.75">
      <c r="A48" s="125">
        <v>15</v>
      </c>
      <c r="B48" s="116" t="s">
        <v>30</v>
      </c>
      <c r="C48" s="117" t="s">
        <v>4</v>
      </c>
      <c r="D48" s="117">
        <f t="shared" si="16"/>
        <v>1296000</v>
      </c>
      <c r="E48" s="118">
        <f t="shared" si="14"/>
        <v>1.296</v>
      </c>
      <c r="F48" s="119">
        <v>19</v>
      </c>
      <c r="G48" s="120">
        <v>144</v>
      </c>
      <c r="H48" s="121">
        <v>173</v>
      </c>
      <c r="I48" s="121">
        <v>201</v>
      </c>
      <c r="J48" s="122">
        <v>33.6</v>
      </c>
      <c r="K48" s="122">
        <v>32.4</v>
      </c>
      <c r="L48" s="400">
        <f>VLOOKUP($A48,'Master Data'!$A$3:$AP$151,42,1)</f>
        <v>160.84</v>
      </c>
      <c r="M48" s="401">
        <f>VLOOKUP($A48,'Master Data'!$A$3:$AP$151,41,1)</f>
        <v>32.1441477632208</v>
      </c>
      <c r="N48" s="122">
        <v>0.6</v>
      </c>
      <c r="O48" s="122">
        <v>0.5</v>
      </c>
      <c r="P48" s="300">
        <v>2</v>
      </c>
      <c r="Q48" s="300">
        <v>1</v>
      </c>
      <c r="R48" s="123">
        <f>IF(E48&lt;1.1,'Proposed Spec Lines'!D$3+'Proposed Spec Lines'!D$4*'Spec Analysis_ScreenSize'!E48+'Proposed Spec Lines'!D$5*'Spec Analysis_ScreenSize'!G48,'Proposed Spec Lines'!C$3+'Proposed Spec Lines'!C$4*'Spec Analysis_ScreenSize'!E48+'Proposed Spec Lines'!C$5*'Spec Analysis_ScreenSize'!G48)</f>
        <v>21.864</v>
      </c>
      <c r="S48" s="124">
        <f t="shared" si="15"/>
        <v>0</v>
      </c>
      <c r="T48" s="124">
        <f t="shared" si="11"/>
        <v>0</v>
      </c>
      <c r="U48" s="212">
        <f t="shared" si="3"/>
        <v>32.1441477632208</v>
      </c>
      <c r="V48" s="212">
        <f t="shared" si="4"/>
        <v>21.864</v>
      </c>
      <c r="W48" s="13">
        <f t="shared" si="5"/>
        <v>0.6</v>
      </c>
      <c r="X48" s="13">
        <f t="shared" si="6"/>
        <v>0.6</v>
      </c>
      <c r="Y48" s="13">
        <f t="shared" si="7"/>
        <v>0.5</v>
      </c>
      <c r="Z48" s="13">
        <f t="shared" si="8"/>
        <v>0.5</v>
      </c>
      <c r="AB48" s="240">
        <f t="shared" si="12"/>
        <v>0.9950248756218906</v>
      </c>
    </row>
    <row r="49" spans="1:28" ht="12.75">
      <c r="A49" s="126">
        <v>27</v>
      </c>
      <c r="B49" s="116" t="s">
        <v>30</v>
      </c>
      <c r="C49" s="116" t="s">
        <v>4</v>
      </c>
      <c r="D49" s="116">
        <f t="shared" si="16"/>
        <v>1296000</v>
      </c>
      <c r="E49" s="118">
        <f t="shared" si="14"/>
        <v>1.296</v>
      </c>
      <c r="F49" s="119">
        <v>19</v>
      </c>
      <c r="G49" s="120">
        <v>162.24719101123594</v>
      </c>
      <c r="H49" s="127">
        <v>179</v>
      </c>
      <c r="I49" s="127">
        <v>163</v>
      </c>
      <c r="J49" s="128">
        <v>24.4</v>
      </c>
      <c r="K49" s="128">
        <v>25.3</v>
      </c>
      <c r="L49" s="400">
        <f>VLOOKUP($A49,'Master Data'!$A$3:$AP$151,42,1)</f>
        <v>200</v>
      </c>
      <c r="M49" s="401">
        <f>VLOOKUP($A49,'Master Data'!$A$3:$AP$151,41,1)</f>
        <v>26.63807512188903</v>
      </c>
      <c r="N49" s="380"/>
      <c r="O49" s="381"/>
      <c r="P49" s="300">
        <v>2</v>
      </c>
      <c r="Q49" s="300">
        <v>1</v>
      </c>
      <c r="R49" s="123">
        <f>IF(E49&lt;1.1,'Proposed Spec Lines'!D$3+'Proposed Spec Lines'!D$4*'Spec Analysis_ScreenSize'!E49+'Proposed Spec Lines'!D$5*'Spec Analysis_ScreenSize'!G49,'Proposed Spec Lines'!C$3+'Proposed Spec Lines'!C$4*'Spec Analysis_ScreenSize'!E49+'Proposed Spec Lines'!C$5*'Spec Analysis_ScreenSize'!G49)</f>
        <v>22.776359550561796</v>
      </c>
      <c r="S49" s="124">
        <f t="shared" si="15"/>
        <v>0</v>
      </c>
      <c r="T49" s="124">
        <f t="shared" si="11"/>
        <v>0</v>
      </c>
      <c r="U49" s="212">
        <f t="shared" si="3"/>
        <v>26.63807512188903</v>
      </c>
      <c r="V49" s="212">
        <f t="shared" si="4"/>
        <v>22.776359550561796</v>
      </c>
      <c r="W49" s="13">
        <f t="shared" si="5"/>
        <v>0</v>
      </c>
      <c r="X49" s="13">
        <f t="shared" si="6"/>
        <v>0</v>
      </c>
      <c r="Y49" s="13">
        <f t="shared" si="7"/>
        <v>0</v>
      </c>
      <c r="Z49" s="13">
        <f t="shared" si="8"/>
        <v>0</v>
      </c>
      <c r="AB49" s="240">
        <f t="shared" si="12"/>
        <v>1.2269938650306749</v>
      </c>
    </row>
    <row r="50" spans="1:28" ht="12.75">
      <c r="A50" s="116">
        <v>28</v>
      </c>
      <c r="B50" s="116" t="s">
        <v>30</v>
      </c>
      <c r="C50" s="116" t="s">
        <v>4</v>
      </c>
      <c r="D50" s="116">
        <f t="shared" si="16"/>
        <v>1296000</v>
      </c>
      <c r="E50" s="118">
        <f t="shared" si="14"/>
        <v>1.296</v>
      </c>
      <c r="F50" s="119">
        <v>19</v>
      </c>
      <c r="G50" s="120">
        <v>162.24719101123594</v>
      </c>
      <c r="H50" s="127">
        <v>180</v>
      </c>
      <c r="I50" s="127">
        <v>194</v>
      </c>
      <c r="J50" s="128">
        <v>15.9</v>
      </c>
      <c r="K50" s="128">
        <v>18.8</v>
      </c>
      <c r="L50" s="400">
        <f>VLOOKUP($A50,'Master Data'!$A$3:$AP$151,42,1)</f>
        <v>200</v>
      </c>
      <c r="M50" s="401">
        <f>VLOOKUP($A50,'Master Data'!$A$3:$AP$151,41,1)</f>
        <v>17.173569018309067</v>
      </c>
      <c r="N50" s="128">
        <v>0.64</v>
      </c>
      <c r="O50" s="128">
        <v>0.43</v>
      </c>
      <c r="P50" s="300">
        <v>2</v>
      </c>
      <c r="Q50" s="300">
        <v>1</v>
      </c>
      <c r="R50" s="123">
        <f>IF(E50&lt;1.1,'Proposed Spec Lines'!D$3+'Proposed Spec Lines'!D$4*'Spec Analysis_ScreenSize'!E50+'Proposed Spec Lines'!D$5*'Spec Analysis_ScreenSize'!G50,'Proposed Spec Lines'!C$3+'Proposed Spec Lines'!C$4*'Spec Analysis_ScreenSize'!E50+'Proposed Spec Lines'!C$5*'Spec Analysis_ScreenSize'!G50)</f>
        <v>22.776359550561796</v>
      </c>
      <c r="S50" s="124">
        <f t="shared" si="15"/>
        <v>1</v>
      </c>
      <c r="T50" s="124">
        <f t="shared" si="11"/>
        <v>1</v>
      </c>
      <c r="U50" s="212">
        <f t="shared" si="3"/>
        <v>17.173569018309067</v>
      </c>
      <c r="V50" s="212">
        <f t="shared" si="4"/>
        <v>17.173569018309067</v>
      </c>
      <c r="W50" s="13">
        <f t="shared" si="5"/>
        <v>0.64</v>
      </c>
      <c r="X50" s="13">
        <f t="shared" si="6"/>
        <v>0.64</v>
      </c>
      <c r="Y50" s="13">
        <f t="shared" si="7"/>
        <v>0.43</v>
      </c>
      <c r="Z50" s="13">
        <f t="shared" si="8"/>
        <v>0.43</v>
      </c>
      <c r="AB50" s="240">
        <f t="shared" si="12"/>
        <v>1.0309278350515463</v>
      </c>
    </row>
    <row r="51" spans="1:28" ht="12.75">
      <c r="A51" s="116">
        <v>29</v>
      </c>
      <c r="B51" s="116" t="s">
        <v>30</v>
      </c>
      <c r="C51" s="130" t="s">
        <v>4</v>
      </c>
      <c r="D51" s="130">
        <f t="shared" si="16"/>
        <v>1296000</v>
      </c>
      <c r="E51" s="118">
        <f t="shared" si="14"/>
        <v>1.296</v>
      </c>
      <c r="F51" s="119">
        <v>19</v>
      </c>
      <c r="G51" s="120">
        <v>162.24719101123594</v>
      </c>
      <c r="H51" s="131">
        <v>177</v>
      </c>
      <c r="I51" s="131"/>
      <c r="J51" s="132">
        <v>17.5</v>
      </c>
      <c r="K51" s="132"/>
      <c r="L51" s="400">
        <f>VLOOKUP($A51,'Master Data'!$A$3:$AP$151,42,1)</f>
        <v>200</v>
      </c>
      <c r="M51" s="401">
        <f>VLOOKUP($A51,'Master Data'!$A$3:$AP$151,41,1)</f>
        <v>18.452413963878417</v>
      </c>
      <c r="N51" s="132">
        <v>0.61</v>
      </c>
      <c r="O51" s="132">
        <v>0.43</v>
      </c>
      <c r="P51" s="300">
        <v>2</v>
      </c>
      <c r="Q51" s="300">
        <v>1</v>
      </c>
      <c r="R51" s="123">
        <f>IF(E51&lt;1.1,'Proposed Spec Lines'!D$3+'Proposed Spec Lines'!D$4*'Spec Analysis_ScreenSize'!E51+'Proposed Spec Lines'!D$5*'Spec Analysis_ScreenSize'!G51,'Proposed Spec Lines'!C$3+'Proposed Spec Lines'!C$4*'Spec Analysis_ScreenSize'!E51+'Proposed Spec Lines'!C$5*'Spec Analysis_ScreenSize'!G51)</f>
        <v>22.776359550561796</v>
      </c>
      <c r="S51" s="124">
        <f t="shared" si="15"/>
        <v>1</v>
      </c>
      <c r="T51" s="124">
        <f t="shared" si="11"/>
        <v>1</v>
      </c>
      <c r="U51" s="212">
        <f t="shared" si="3"/>
        <v>18.452413963878417</v>
      </c>
      <c r="V51" s="212">
        <f t="shared" si="4"/>
        <v>18.452413963878417</v>
      </c>
      <c r="W51" s="13">
        <f t="shared" si="5"/>
        <v>0.61</v>
      </c>
      <c r="X51" s="13">
        <f t="shared" si="6"/>
        <v>0.61</v>
      </c>
      <c r="Y51" s="13">
        <f t="shared" si="7"/>
        <v>0.43</v>
      </c>
      <c r="Z51" s="13">
        <f t="shared" si="8"/>
        <v>0.43</v>
      </c>
      <c r="AB51" s="240">
        <f>200/175</f>
        <v>1.1428571428571428</v>
      </c>
    </row>
    <row r="52" spans="1:28" ht="12.75">
      <c r="A52" s="133">
        <v>33</v>
      </c>
      <c r="B52" s="116" t="s">
        <v>30</v>
      </c>
      <c r="C52" s="134" t="s">
        <v>4</v>
      </c>
      <c r="D52" s="134">
        <f t="shared" si="16"/>
        <v>1296000</v>
      </c>
      <c r="E52" s="118">
        <f t="shared" si="14"/>
        <v>1.296</v>
      </c>
      <c r="F52" s="119">
        <v>19</v>
      </c>
      <c r="G52" s="120">
        <v>164.22</v>
      </c>
      <c r="H52" s="121">
        <v>175</v>
      </c>
      <c r="I52" s="121">
        <v>189</v>
      </c>
      <c r="J52" s="122">
        <v>19.5</v>
      </c>
      <c r="K52" s="122">
        <v>26</v>
      </c>
      <c r="L52" s="400">
        <f>VLOOKUP($A52,'Master Data'!$A$3:$AP$151,42,1)</f>
        <v>200</v>
      </c>
      <c r="M52" s="401">
        <f>VLOOKUP($A52,'Master Data'!$A$3:$AP$151,41,1)</f>
        <v>24.664126623228764</v>
      </c>
      <c r="N52" s="122">
        <v>0.83</v>
      </c>
      <c r="O52" s="122">
        <v>0.74</v>
      </c>
      <c r="P52" s="300">
        <v>2</v>
      </c>
      <c r="Q52" s="300">
        <v>1</v>
      </c>
      <c r="R52" s="123">
        <f>IF(E52&lt;1.1,'Proposed Spec Lines'!D$3+'Proposed Spec Lines'!D$4*'Spec Analysis_ScreenSize'!E52+'Proposed Spec Lines'!D$5*'Spec Analysis_ScreenSize'!G52,'Proposed Spec Lines'!C$3+'Proposed Spec Lines'!C$4*'Spec Analysis_ScreenSize'!E52+'Proposed Spec Lines'!C$5*'Spec Analysis_ScreenSize'!G52)</f>
        <v>22.875</v>
      </c>
      <c r="S52" s="124">
        <f t="shared" si="15"/>
        <v>0</v>
      </c>
      <c r="T52" s="124">
        <f t="shared" si="11"/>
        <v>0</v>
      </c>
      <c r="U52" s="212">
        <f t="shared" si="3"/>
        <v>24.664126623228764</v>
      </c>
      <c r="V52" s="212">
        <f t="shared" si="4"/>
        <v>22.875</v>
      </c>
      <c r="W52" s="13">
        <f t="shared" si="5"/>
        <v>0.83</v>
      </c>
      <c r="X52" s="13">
        <f t="shared" si="6"/>
        <v>0.83</v>
      </c>
      <c r="Y52" s="13">
        <f t="shared" si="7"/>
        <v>0.74</v>
      </c>
      <c r="Z52" s="13">
        <f t="shared" si="8"/>
        <v>0.74</v>
      </c>
      <c r="AB52" s="240">
        <f t="shared" si="12"/>
        <v>1.0582010582010581</v>
      </c>
    </row>
    <row r="53" spans="1:28" ht="12.75">
      <c r="A53" s="116">
        <v>34</v>
      </c>
      <c r="B53" s="116" t="s">
        <v>30</v>
      </c>
      <c r="C53" s="135" t="s">
        <v>4</v>
      </c>
      <c r="D53" s="135">
        <f t="shared" si="16"/>
        <v>1296000</v>
      </c>
      <c r="E53" s="118">
        <f t="shared" si="14"/>
        <v>1.296</v>
      </c>
      <c r="F53" s="119">
        <v>19</v>
      </c>
      <c r="G53" s="120">
        <v>161.37</v>
      </c>
      <c r="H53" s="136">
        <v>175</v>
      </c>
      <c r="I53" s="136">
        <v>265</v>
      </c>
      <c r="J53" s="129">
        <v>28</v>
      </c>
      <c r="K53" s="129">
        <v>35.1</v>
      </c>
      <c r="L53" s="400">
        <f>VLOOKUP($A53,'Master Data'!$A$3:$AP$151,42,1)</f>
        <v>200</v>
      </c>
      <c r="M53" s="401">
        <f>VLOOKUP($A53,'Master Data'!$A$3:$AP$151,41,1)</f>
        <v>30.1746162757061</v>
      </c>
      <c r="N53" s="129">
        <v>0.8</v>
      </c>
      <c r="O53" s="129">
        <v>0.7</v>
      </c>
      <c r="P53" s="300">
        <v>2</v>
      </c>
      <c r="Q53" s="300">
        <v>1</v>
      </c>
      <c r="R53" s="123">
        <f>IF(E53&lt;1.1,'Proposed Spec Lines'!D$3+'Proposed Spec Lines'!D$4*'Spec Analysis_ScreenSize'!E53+'Proposed Spec Lines'!D$5*'Spec Analysis_ScreenSize'!G53,'Proposed Spec Lines'!C$3+'Proposed Spec Lines'!C$4*'Spec Analysis_ScreenSize'!E53+'Proposed Spec Lines'!C$5*'Spec Analysis_ScreenSize'!G53)</f>
        <v>22.7325</v>
      </c>
      <c r="S53" s="124">
        <f t="shared" si="15"/>
        <v>0</v>
      </c>
      <c r="T53" s="124">
        <f t="shared" si="11"/>
        <v>0</v>
      </c>
      <c r="U53" s="212">
        <f t="shared" si="3"/>
        <v>30.1746162757061</v>
      </c>
      <c r="V53" s="212">
        <f t="shared" si="4"/>
        <v>22.7325</v>
      </c>
      <c r="W53" s="13">
        <f t="shared" si="5"/>
        <v>0.8</v>
      </c>
      <c r="X53" s="13">
        <f t="shared" si="6"/>
        <v>0.8</v>
      </c>
      <c r="Y53" s="13">
        <f t="shared" si="7"/>
        <v>0.7</v>
      </c>
      <c r="Z53" s="13">
        <f t="shared" si="8"/>
        <v>0.7</v>
      </c>
      <c r="AB53" s="240">
        <f t="shared" si="12"/>
        <v>0.7547169811320755</v>
      </c>
    </row>
    <row r="54" spans="1:28" ht="12.75">
      <c r="A54" s="126">
        <v>91</v>
      </c>
      <c r="B54" s="116" t="s">
        <v>30</v>
      </c>
      <c r="C54" s="116" t="s">
        <v>4</v>
      </c>
      <c r="D54" s="116">
        <f t="shared" si="16"/>
        <v>1296000</v>
      </c>
      <c r="E54" s="118">
        <f t="shared" si="14"/>
        <v>1.296</v>
      </c>
      <c r="F54" s="119">
        <v>19</v>
      </c>
      <c r="G54" s="120">
        <v>222.48320711476453</v>
      </c>
      <c r="H54" s="127">
        <v>177</v>
      </c>
      <c r="I54" s="127">
        <v>342</v>
      </c>
      <c r="J54" s="128">
        <v>22.7</v>
      </c>
      <c r="K54" s="128">
        <v>32.4</v>
      </c>
      <c r="L54" s="400">
        <f>VLOOKUP($A54,'Master Data'!$A$3:$AP$151,42,1)</f>
        <v>200</v>
      </c>
      <c r="M54" s="401">
        <f>VLOOKUP($A54,'Master Data'!$A$3:$AP$151,41,1)</f>
        <v>24.245164323032082</v>
      </c>
      <c r="N54" s="128">
        <v>0.75</v>
      </c>
      <c r="O54" s="128">
        <v>0.71</v>
      </c>
      <c r="P54" s="300">
        <v>2</v>
      </c>
      <c r="Q54" s="300">
        <v>1</v>
      </c>
      <c r="R54" s="123">
        <f>IF(E54&lt;1.1,'Proposed Spec Lines'!D$3+'Proposed Spec Lines'!D$4*'Spec Analysis_ScreenSize'!E54+'Proposed Spec Lines'!D$5*'Spec Analysis_ScreenSize'!G54,'Proposed Spec Lines'!C$3+'Proposed Spec Lines'!C$4*'Spec Analysis_ScreenSize'!E54+'Proposed Spec Lines'!C$5*'Spec Analysis_ScreenSize'!G54)</f>
        <v>25.788160355738228</v>
      </c>
      <c r="S54" s="124">
        <f t="shared" si="15"/>
        <v>1</v>
      </c>
      <c r="T54" s="124">
        <f t="shared" si="11"/>
        <v>1</v>
      </c>
      <c r="U54" s="212">
        <f t="shared" si="3"/>
        <v>24.245164323032082</v>
      </c>
      <c r="V54" s="212">
        <f t="shared" si="4"/>
        <v>24.245164323032082</v>
      </c>
      <c r="W54" s="13">
        <f t="shared" si="5"/>
        <v>0.75</v>
      </c>
      <c r="X54" s="13">
        <f t="shared" si="6"/>
        <v>0.75</v>
      </c>
      <c r="Y54" s="13">
        <f t="shared" si="7"/>
        <v>0.71</v>
      </c>
      <c r="Z54" s="13">
        <f t="shared" si="8"/>
        <v>0.71</v>
      </c>
      <c r="AB54" s="240">
        <f t="shared" si="12"/>
        <v>0.5847953216374269</v>
      </c>
    </row>
    <row r="55" spans="1:28" ht="12.75">
      <c r="A55" s="116">
        <v>106</v>
      </c>
      <c r="B55" s="116" t="s">
        <v>30</v>
      </c>
      <c r="C55" s="137" t="s">
        <v>4</v>
      </c>
      <c r="D55" s="137">
        <f t="shared" si="16"/>
        <v>1296000</v>
      </c>
      <c r="E55" s="118">
        <f t="shared" si="14"/>
        <v>1.296</v>
      </c>
      <c r="F55" s="119">
        <v>19</v>
      </c>
      <c r="G55" s="120">
        <v>160</v>
      </c>
      <c r="H55" s="138">
        <v>175</v>
      </c>
      <c r="I55" s="138">
        <v>200</v>
      </c>
      <c r="J55" s="139">
        <v>25.8</v>
      </c>
      <c r="K55" s="139">
        <v>27.9</v>
      </c>
      <c r="L55" s="400">
        <f>VLOOKUP($A55,'Master Data'!$A$3:$AP$151,42,1)</f>
        <v>200</v>
      </c>
      <c r="M55" s="401">
        <f>VLOOKUP($A55,'Master Data'!$A$3:$AP$151,41,1)</f>
        <v>28.219629551430238</v>
      </c>
      <c r="N55" s="139">
        <v>0.91</v>
      </c>
      <c r="O55" s="139">
        <v>0.59</v>
      </c>
      <c r="P55" s="300">
        <v>2</v>
      </c>
      <c r="Q55" s="300">
        <v>1</v>
      </c>
      <c r="R55" s="123">
        <f>IF(E55&lt;1.1,'Proposed Spec Lines'!D$3+'Proposed Spec Lines'!D$4*'Spec Analysis_ScreenSize'!E55+'Proposed Spec Lines'!D$5*'Spec Analysis_ScreenSize'!G55,'Proposed Spec Lines'!C$3+'Proposed Spec Lines'!C$4*'Spec Analysis_ScreenSize'!E55+'Proposed Spec Lines'!C$5*'Spec Analysis_ScreenSize'!G55)</f>
        <v>22.664</v>
      </c>
      <c r="S55" s="124">
        <f t="shared" si="15"/>
        <v>0</v>
      </c>
      <c r="T55" s="124">
        <f t="shared" si="11"/>
        <v>0</v>
      </c>
      <c r="U55" s="212">
        <f t="shared" si="3"/>
        <v>28.219629551430238</v>
      </c>
      <c r="V55" s="212">
        <f t="shared" si="4"/>
        <v>22.664</v>
      </c>
      <c r="W55" s="13">
        <f t="shared" si="5"/>
        <v>0.91</v>
      </c>
      <c r="X55" s="13">
        <f t="shared" si="6"/>
        <v>0.91</v>
      </c>
      <c r="Y55" s="13">
        <f t="shared" si="7"/>
        <v>0.59</v>
      </c>
      <c r="Z55" s="13">
        <f t="shared" si="8"/>
        <v>0.59</v>
      </c>
      <c r="AB55" s="240">
        <f t="shared" si="12"/>
        <v>1</v>
      </c>
    </row>
    <row r="56" spans="1:28" ht="12.75">
      <c r="A56" s="133">
        <v>112</v>
      </c>
      <c r="B56" s="116" t="s">
        <v>30</v>
      </c>
      <c r="C56" s="140" t="s">
        <v>4</v>
      </c>
      <c r="D56" s="140">
        <f t="shared" si="16"/>
        <v>1296000</v>
      </c>
      <c r="E56" s="118">
        <f t="shared" si="14"/>
        <v>1.296</v>
      </c>
      <c r="F56" s="119">
        <v>19</v>
      </c>
      <c r="G56" s="120">
        <v>163.16445367044</v>
      </c>
      <c r="H56" s="141">
        <v>175</v>
      </c>
      <c r="I56" s="141"/>
      <c r="J56" s="142">
        <v>27.9</v>
      </c>
      <c r="K56" s="142">
        <v>31</v>
      </c>
      <c r="L56" s="400">
        <f>VLOOKUP($A56,'Master Data'!$A$3:$AP$151,42,1)</f>
        <v>200</v>
      </c>
      <c r="M56" s="401">
        <f>VLOOKUP($A56,'Master Data'!$A$3:$AP$151,41,1)</f>
        <v>29.720000000000013</v>
      </c>
      <c r="N56" s="142">
        <v>1.56</v>
      </c>
      <c r="O56" s="142">
        <v>0.74</v>
      </c>
      <c r="P56" s="300">
        <v>2</v>
      </c>
      <c r="Q56" s="300">
        <v>1</v>
      </c>
      <c r="R56" s="123">
        <f>IF(E56&lt;1.1,'Proposed Spec Lines'!D$3+'Proposed Spec Lines'!D$4*'Spec Analysis_ScreenSize'!E56+'Proposed Spec Lines'!D$5*'Spec Analysis_ScreenSize'!G56,'Proposed Spec Lines'!C$3+'Proposed Spec Lines'!C$4*'Spec Analysis_ScreenSize'!E56+'Proposed Spec Lines'!C$5*'Spec Analysis_ScreenSize'!G56)</f>
        <v>22.822222683522</v>
      </c>
      <c r="S56" s="124">
        <f t="shared" si="15"/>
        <v>0</v>
      </c>
      <c r="T56" s="124">
        <f t="shared" si="11"/>
        <v>0</v>
      </c>
      <c r="U56" s="212">
        <f t="shared" si="3"/>
        <v>29.720000000000013</v>
      </c>
      <c r="V56" s="212">
        <f t="shared" si="4"/>
        <v>22.822222683522</v>
      </c>
      <c r="W56" s="13">
        <f t="shared" si="5"/>
        <v>1.56</v>
      </c>
      <c r="X56" s="13">
        <f t="shared" si="6"/>
        <v>1.56</v>
      </c>
      <c r="Y56" s="13">
        <f t="shared" si="7"/>
        <v>0.74</v>
      </c>
      <c r="Z56" s="13">
        <f t="shared" si="8"/>
        <v>0.74</v>
      </c>
      <c r="AB56" s="240">
        <f>200/175</f>
        <v>1.1428571428571428</v>
      </c>
    </row>
    <row r="57" spans="1:28" ht="12.75">
      <c r="A57" s="116">
        <v>117</v>
      </c>
      <c r="B57" s="116" t="s">
        <v>30</v>
      </c>
      <c r="C57" s="143" t="s">
        <v>9</v>
      </c>
      <c r="D57" s="143">
        <f t="shared" si="16"/>
        <v>1296000</v>
      </c>
      <c r="E57" s="118">
        <f t="shared" si="14"/>
        <v>1.296</v>
      </c>
      <c r="F57" s="119">
        <v>19</v>
      </c>
      <c r="G57" s="120">
        <v>161.45209870419743</v>
      </c>
      <c r="H57" s="144">
        <v>175</v>
      </c>
      <c r="I57" s="144">
        <v>163</v>
      </c>
      <c r="J57" s="145">
        <v>27</v>
      </c>
      <c r="K57" s="145">
        <v>26.5</v>
      </c>
      <c r="L57" s="400">
        <f>VLOOKUP($A57,'Master Data'!$A$3:$AP$151,42,1)</f>
        <v>200</v>
      </c>
      <c r="M57" s="401">
        <f>VLOOKUP($A57,'Master Data'!$A$3:$AP$151,41,1)</f>
        <v>28.872389524584673</v>
      </c>
      <c r="N57" s="145">
        <v>0.45</v>
      </c>
      <c r="O57" s="145">
        <v>0.37</v>
      </c>
      <c r="P57" s="300">
        <v>2</v>
      </c>
      <c r="Q57" s="300">
        <v>1</v>
      </c>
      <c r="R57" s="123">
        <f>IF(E57&lt;1.1,'Proposed Spec Lines'!D$3+'Proposed Spec Lines'!D$4*'Spec Analysis_ScreenSize'!E57+'Proposed Spec Lines'!D$5*'Spec Analysis_ScreenSize'!G57,'Proposed Spec Lines'!C$3+'Proposed Spec Lines'!C$4*'Spec Analysis_ScreenSize'!E57+'Proposed Spec Lines'!C$5*'Spec Analysis_ScreenSize'!G57)</f>
        <v>22.736604935209872</v>
      </c>
      <c r="S57" s="124">
        <f t="shared" si="15"/>
        <v>0</v>
      </c>
      <c r="T57" s="124">
        <f t="shared" si="11"/>
        <v>0</v>
      </c>
      <c r="U57" s="212">
        <f t="shared" si="3"/>
        <v>28.872389524584673</v>
      </c>
      <c r="V57" s="212">
        <f t="shared" si="4"/>
        <v>22.736604935209872</v>
      </c>
      <c r="W57" s="13">
        <f t="shared" si="5"/>
        <v>0.45</v>
      </c>
      <c r="X57" s="13">
        <f t="shared" si="6"/>
        <v>0.45</v>
      </c>
      <c r="Y57" s="13">
        <f t="shared" si="7"/>
        <v>0.37</v>
      </c>
      <c r="Z57" s="13">
        <f t="shared" si="8"/>
        <v>0.37</v>
      </c>
      <c r="AB57" s="240">
        <f t="shared" si="12"/>
        <v>1.2269938650306749</v>
      </c>
    </row>
    <row r="58" spans="1:28" ht="12.75">
      <c r="A58" s="116">
        <v>126</v>
      </c>
      <c r="B58" s="116" t="s">
        <v>30</v>
      </c>
      <c r="C58" s="143" t="s">
        <v>9</v>
      </c>
      <c r="D58" s="143">
        <f t="shared" si="16"/>
        <v>1296000</v>
      </c>
      <c r="E58" s="118">
        <f t="shared" si="14"/>
        <v>1.296</v>
      </c>
      <c r="F58" s="119">
        <v>19</v>
      </c>
      <c r="G58" s="120">
        <v>161.45209870419743</v>
      </c>
      <c r="H58" s="144">
        <v>175</v>
      </c>
      <c r="I58" s="144">
        <v>170</v>
      </c>
      <c r="J58" s="145">
        <v>24.3</v>
      </c>
      <c r="K58" s="145">
        <v>24.1</v>
      </c>
      <c r="L58" s="400">
        <f>VLOOKUP($A58,'Master Data'!$A$3:$AP$151,42,1)</f>
        <v>200</v>
      </c>
      <c r="M58" s="401">
        <f>VLOOKUP($A58,'Master Data'!$A$3:$AP$151,41,1)</f>
        <v>26.544688410536953</v>
      </c>
      <c r="N58" s="145">
        <v>0.4</v>
      </c>
      <c r="O58" s="145">
        <v>0.34</v>
      </c>
      <c r="P58" s="300">
        <v>2</v>
      </c>
      <c r="Q58" s="300">
        <v>1</v>
      </c>
      <c r="R58" s="123">
        <f>IF(E58&lt;1.1,'Proposed Spec Lines'!D$3+'Proposed Spec Lines'!D$4*'Spec Analysis_ScreenSize'!E58+'Proposed Spec Lines'!D$5*'Spec Analysis_ScreenSize'!G58,'Proposed Spec Lines'!C$3+'Proposed Spec Lines'!C$4*'Spec Analysis_ScreenSize'!E58+'Proposed Spec Lines'!C$5*'Spec Analysis_ScreenSize'!G58)</f>
        <v>22.736604935209872</v>
      </c>
      <c r="S58" s="124">
        <f t="shared" si="15"/>
        <v>0</v>
      </c>
      <c r="T58" s="124">
        <f t="shared" si="11"/>
        <v>0</v>
      </c>
      <c r="U58" s="212">
        <f t="shared" si="3"/>
        <v>26.544688410536953</v>
      </c>
      <c r="V58" s="212">
        <f t="shared" si="4"/>
        <v>22.736604935209872</v>
      </c>
      <c r="W58" s="13">
        <f t="shared" si="5"/>
        <v>0.4</v>
      </c>
      <c r="X58" s="13">
        <f t="shared" si="6"/>
        <v>0.4</v>
      </c>
      <c r="Y58" s="13">
        <f t="shared" si="7"/>
        <v>0.34</v>
      </c>
      <c r="Z58" s="13">
        <f t="shared" si="8"/>
        <v>0.34</v>
      </c>
      <c r="AB58" s="240">
        <f t="shared" si="12"/>
        <v>1.1764705882352942</v>
      </c>
    </row>
    <row r="59" spans="1:28" ht="12.75">
      <c r="A59" s="116">
        <v>133</v>
      </c>
      <c r="B59" s="116" t="s">
        <v>30</v>
      </c>
      <c r="C59" s="135" t="s">
        <v>9</v>
      </c>
      <c r="D59" s="135">
        <f t="shared" si="16"/>
        <v>1296000</v>
      </c>
      <c r="E59" s="118">
        <f t="shared" si="14"/>
        <v>1.296</v>
      </c>
      <c r="F59" s="119">
        <v>19</v>
      </c>
      <c r="G59" s="120">
        <v>161.45209870419743</v>
      </c>
      <c r="H59" s="136">
        <v>175</v>
      </c>
      <c r="I59" s="136">
        <v>163</v>
      </c>
      <c r="J59" s="129">
        <v>27</v>
      </c>
      <c r="K59" s="129">
        <v>31.2</v>
      </c>
      <c r="L59" s="400">
        <f>VLOOKUP($A59,'Master Data'!$A$3:$AP$151,42,1)</f>
        <v>173.4</v>
      </c>
      <c r="M59" s="401">
        <f>VLOOKUP($A59,'Master Data'!$A$3:$AP$151,41,1)</f>
        <v>26.94495604602905</v>
      </c>
      <c r="N59" s="129">
        <v>0.45</v>
      </c>
      <c r="O59" s="129">
        <v>0.37</v>
      </c>
      <c r="P59" s="300">
        <v>2</v>
      </c>
      <c r="Q59" s="300">
        <v>1</v>
      </c>
      <c r="R59" s="123">
        <f>IF(E59&lt;1.1,'Proposed Spec Lines'!D$3+'Proposed Spec Lines'!D$4*'Spec Analysis_ScreenSize'!E59+'Proposed Spec Lines'!D$5*'Spec Analysis_ScreenSize'!G59,'Proposed Spec Lines'!C$3+'Proposed Spec Lines'!C$4*'Spec Analysis_ScreenSize'!E59+'Proposed Spec Lines'!C$5*'Spec Analysis_ScreenSize'!G59)</f>
        <v>22.736604935209872</v>
      </c>
      <c r="S59" s="124">
        <f t="shared" si="15"/>
        <v>0</v>
      </c>
      <c r="T59" s="124">
        <f t="shared" si="11"/>
        <v>0</v>
      </c>
      <c r="U59" s="212">
        <f t="shared" si="3"/>
        <v>26.94495604602905</v>
      </c>
      <c r="V59" s="212">
        <f t="shared" si="4"/>
        <v>22.736604935209872</v>
      </c>
      <c r="W59" s="13">
        <f t="shared" si="5"/>
        <v>0.45</v>
      </c>
      <c r="X59" s="13">
        <f t="shared" si="6"/>
        <v>0.45</v>
      </c>
      <c r="Y59" s="13">
        <f t="shared" si="7"/>
        <v>0.37</v>
      </c>
      <c r="Z59" s="13">
        <f t="shared" si="8"/>
        <v>0.37</v>
      </c>
      <c r="AB59" s="240">
        <f t="shared" si="12"/>
        <v>1.2269938650306749</v>
      </c>
    </row>
    <row r="60" spans="1:28" ht="12.75">
      <c r="A60" s="133">
        <v>134</v>
      </c>
      <c r="B60" s="116" t="s">
        <v>30</v>
      </c>
      <c r="C60" s="135" t="s">
        <v>9</v>
      </c>
      <c r="D60" s="135">
        <f t="shared" si="16"/>
        <v>1296000</v>
      </c>
      <c r="E60" s="118">
        <f t="shared" si="14"/>
        <v>1.296</v>
      </c>
      <c r="F60" s="119">
        <v>19</v>
      </c>
      <c r="G60" s="120">
        <v>161.45209870419743</v>
      </c>
      <c r="H60" s="136">
        <v>175</v>
      </c>
      <c r="I60" s="136">
        <v>170</v>
      </c>
      <c r="J60" s="129">
        <v>24.3</v>
      </c>
      <c r="K60" s="129">
        <v>29.7</v>
      </c>
      <c r="L60" s="400">
        <f>VLOOKUP($A60,'Master Data'!$A$3:$AP$151,42,1)</f>
        <v>170.4</v>
      </c>
      <c r="M60" s="401">
        <f>VLOOKUP($A60,'Master Data'!$A$3:$AP$151,41,1)</f>
        <v>25.480629125289884</v>
      </c>
      <c r="N60" s="129">
        <v>0.4</v>
      </c>
      <c r="O60" s="129">
        <v>0.34</v>
      </c>
      <c r="P60" s="300">
        <v>2</v>
      </c>
      <c r="Q60" s="300">
        <v>1</v>
      </c>
      <c r="R60" s="123">
        <f>IF(E60&lt;1.1,'Proposed Spec Lines'!D$3+'Proposed Spec Lines'!D$4*'Spec Analysis_ScreenSize'!E60+'Proposed Spec Lines'!D$5*'Spec Analysis_ScreenSize'!G60,'Proposed Spec Lines'!C$3+'Proposed Spec Lines'!C$4*'Spec Analysis_ScreenSize'!E60+'Proposed Spec Lines'!C$5*'Spec Analysis_ScreenSize'!G60)</f>
        <v>22.736604935209872</v>
      </c>
      <c r="S60" s="124">
        <f t="shared" si="15"/>
        <v>0</v>
      </c>
      <c r="T60" s="124">
        <f t="shared" si="11"/>
        <v>0</v>
      </c>
      <c r="U60" s="212">
        <f t="shared" si="3"/>
        <v>25.480629125289884</v>
      </c>
      <c r="V60" s="212">
        <f t="shared" si="4"/>
        <v>22.736604935209872</v>
      </c>
      <c r="W60" s="13">
        <f t="shared" si="5"/>
        <v>0.4</v>
      </c>
      <c r="X60" s="13">
        <f t="shared" si="6"/>
        <v>0.4</v>
      </c>
      <c r="Y60" s="13">
        <f t="shared" si="7"/>
        <v>0.34</v>
      </c>
      <c r="Z60" s="13">
        <f t="shared" si="8"/>
        <v>0.34</v>
      </c>
      <c r="AB60" s="240">
        <f t="shared" si="12"/>
        <v>1.1764705882352942</v>
      </c>
    </row>
    <row r="61" spans="1:28" ht="12.75">
      <c r="A61" s="126">
        <v>7</v>
      </c>
      <c r="B61" s="116" t="s">
        <v>30</v>
      </c>
      <c r="C61" s="117" t="s">
        <v>3</v>
      </c>
      <c r="D61" s="117">
        <f aca="true" t="shared" si="17" ref="D61:D68">1280*1024</f>
        <v>1310720</v>
      </c>
      <c r="E61" s="118">
        <f t="shared" si="14"/>
        <v>1.31072</v>
      </c>
      <c r="F61" s="119">
        <v>19</v>
      </c>
      <c r="G61" s="120">
        <v>180</v>
      </c>
      <c r="H61" s="121">
        <v>175</v>
      </c>
      <c r="I61" s="121">
        <v>189</v>
      </c>
      <c r="J61" s="122">
        <v>32.73</v>
      </c>
      <c r="K61" s="122">
        <v>32.73</v>
      </c>
      <c r="L61" s="400">
        <f>VLOOKUP($A61,'Master Data'!$A$3:$AP$151,42,1)</f>
        <v>160.222</v>
      </c>
      <c r="M61" s="401">
        <f>VLOOKUP($A61,'Master Data'!$A$3:$AP$151,41,1)</f>
        <v>32.75787597110696</v>
      </c>
      <c r="N61" s="122">
        <v>0.99</v>
      </c>
      <c r="O61" s="122">
        <v>0.82</v>
      </c>
      <c r="P61" s="300">
        <v>2</v>
      </c>
      <c r="Q61" s="300">
        <v>1</v>
      </c>
      <c r="R61" s="123">
        <f>IF(E61&lt;1.1,'Proposed Spec Lines'!D$3+'Proposed Spec Lines'!D$4*'Spec Analysis_ScreenSize'!E61+'Proposed Spec Lines'!D$5*'Spec Analysis_ScreenSize'!G61,'Proposed Spec Lines'!C$3+'Proposed Spec Lines'!C$4*'Spec Analysis_ScreenSize'!E61+'Proposed Spec Lines'!C$5*'Spec Analysis_ScreenSize'!G61)</f>
        <v>23.796480000000003</v>
      </c>
      <c r="S61" s="124">
        <f t="shared" si="15"/>
        <v>0</v>
      </c>
      <c r="T61" s="124">
        <f t="shared" si="11"/>
        <v>0</v>
      </c>
      <c r="U61" s="212">
        <f t="shared" si="3"/>
        <v>32.75787597110696</v>
      </c>
      <c r="V61" s="212">
        <f t="shared" si="4"/>
        <v>23.796480000000003</v>
      </c>
      <c r="W61" s="13">
        <f t="shared" si="5"/>
        <v>0.99</v>
      </c>
      <c r="X61" s="13">
        <f t="shared" si="6"/>
        <v>0.99</v>
      </c>
      <c r="Y61" s="13">
        <f t="shared" si="7"/>
        <v>0.82</v>
      </c>
      <c r="Z61" s="13">
        <f t="shared" si="8"/>
        <v>0.82</v>
      </c>
      <c r="AB61" s="240">
        <f t="shared" si="12"/>
        <v>1.0582010582010581</v>
      </c>
    </row>
    <row r="62" spans="1:28" ht="12.75">
      <c r="A62" s="116">
        <v>14</v>
      </c>
      <c r="B62" s="116" t="s">
        <v>30</v>
      </c>
      <c r="C62" s="117" t="s">
        <v>3</v>
      </c>
      <c r="D62" s="117">
        <f t="shared" si="17"/>
        <v>1310720</v>
      </c>
      <c r="E62" s="118">
        <f t="shared" si="14"/>
        <v>1.31072</v>
      </c>
      <c r="F62" s="119">
        <v>19</v>
      </c>
      <c r="G62" s="120">
        <v>180</v>
      </c>
      <c r="H62" s="121">
        <v>175</v>
      </c>
      <c r="I62" s="121">
        <v>187</v>
      </c>
      <c r="J62" s="122">
        <v>36.34</v>
      </c>
      <c r="K62" s="122">
        <v>36.3</v>
      </c>
      <c r="L62" s="400">
        <f>VLOOKUP($A62,'Master Data'!$A$3:$AP$151,42,1)</f>
        <v>160.23</v>
      </c>
      <c r="M62" s="401">
        <f>VLOOKUP($A62,'Master Data'!$A$3:$AP$151,41,1)</f>
        <v>36.71475742270884</v>
      </c>
      <c r="N62" s="122">
        <v>1.33</v>
      </c>
      <c r="O62" s="122">
        <v>1.07</v>
      </c>
      <c r="P62" s="300">
        <v>2</v>
      </c>
      <c r="Q62" s="300">
        <v>1</v>
      </c>
      <c r="R62" s="123">
        <f>IF(E62&lt;1.1,'Proposed Spec Lines'!D$3+'Proposed Spec Lines'!D$4*'Spec Analysis_ScreenSize'!E62+'Proposed Spec Lines'!D$5*'Spec Analysis_ScreenSize'!G62,'Proposed Spec Lines'!C$3+'Proposed Spec Lines'!C$4*'Spec Analysis_ScreenSize'!E62+'Proposed Spec Lines'!C$5*'Spec Analysis_ScreenSize'!G62)</f>
        <v>23.796480000000003</v>
      </c>
      <c r="S62" s="124">
        <f t="shared" si="15"/>
        <v>0</v>
      </c>
      <c r="T62" s="124">
        <f t="shared" si="11"/>
        <v>0</v>
      </c>
      <c r="U62" s="212">
        <f t="shared" si="3"/>
        <v>36.71475742270884</v>
      </c>
      <c r="V62" s="212">
        <f t="shared" si="4"/>
        <v>23.796480000000003</v>
      </c>
      <c r="W62" s="13">
        <f t="shared" si="5"/>
        <v>1.33</v>
      </c>
      <c r="X62" s="13">
        <f t="shared" si="6"/>
        <v>1.33</v>
      </c>
      <c r="Y62" s="13">
        <f t="shared" si="7"/>
        <v>1.07</v>
      </c>
      <c r="Z62" s="13">
        <f t="shared" si="8"/>
        <v>1</v>
      </c>
      <c r="AB62" s="240">
        <f t="shared" si="12"/>
        <v>1.0695187165775402</v>
      </c>
    </row>
    <row r="63" spans="1:28" ht="12.75">
      <c r="A63" s="116">
        <v>92</v>
      </c>
      <c r="B63" s="116" t="s">
        <v>30</v>
      </c>
      <c r="C63" s="116" t="s">
        <v>3</v>
      </c>
      <c r="D63" s="116">
        <f t="shared" si="17"/>
        <v>1310720</v>
      </c>
      <c r="E63" s="118">
        <f t="shared" si="14"/>
        <v>1.31072</v>
      </c>
      <c r="F63" s="119">
        <v>19</v>
      </c>
      <c r="G63" s="120">
        <v>222.48320711476453</v>
      </c>
      <c r="H63" s="127">
        <v>176</v>
      </c>
      <c r="I63" s="127">
        <v>273</v>
      </c>
      <c r="J63" s="128">
        <v>24.2</v>
      </c>
      <c r="K63" s="128">
        <v>32.6</v>
      </c>
      <c r="L63" s="400">
        <f>VLOOKUP($A63,'Master Data'!$A$3:$AP$151,42,1)</f>
        <v>200</v>
      </c>
      <c r="M63" s="401">
        <f>VLOOKUP($A63,'Master Data'!$A$3:$AP$151,41,1)</f>
        <v>27.61990508729864</v>
      </c>
      <c r="N63" s="128">
        <v>0.76</v>
      </c>
      <c r="O63" s="128">
        <v>0.76</v>
      </c>
      <c r="P63" s="300">
        <v>2</v>
      </c>
      <c r="Q63" s="300">
        <v>1</v>
      </c>
      <c r="R63" s="123">
        <f>IF(E63&lt;1.1,'Proposed Spec Lines'!D$3+'Proposed Spec Lines'!D$4*'Spec Analysis_ScreenSize'!E63+'Proposed Spec Lines'!D$5*'Spec Analysis_ScreenSize'!G63,'Proposed Spec Lines'!C$3+'Proposed Spec Lines'!C$4*'Spec Analysis_ScreenSize'!E63+'Proposed Spec Lines'!C$5*'Spec Analysis_ScreenSize'!G63)</f>
        <v>25.92064035573823</v>
      </c>
      <c r="S63" s="124">
        <f t="shared" si="15"/>
        <v>0</v>
      </c>
      <c r="T63" s="124">
        <f t="shared" si="11"/>
        <v>0</v>
      </c>
      <c r="U63" s="212">
        <f t="shared" si="3"/>
        <v>27.61990508729864</v>
      </c>
      <c r="V63" s="212">
        <f t="shared" si="4"/>
        <v>25.92064035573823</v>
      </c>
      <c r="W63" s="13">
        <f t="shared" si="5"/>
        <v>0.76</v>
      </c>
      <c r="X63" s="13">
        <f t="shared" si="6"/>
        <v>0.76</v>
      </c>
      <c r="Y63" s="13">
        <f t="shared" si="7"/>
        <v>0.76</v>
      </c>
      <c r="Z63" s="13">
        <f t="shared" si="8"/>
        <v>0.76</v>
      </c>
      <c r="AB63" s="240">
        <f t="shared" si="12"/>
        <v>0.7326007326007326</v>
      </c>
    </row>
    <row r="64" spans="1:28" ht="12.75">
      <c r="A64" s="125">
        <v>103</v>
      </c>
      <c r="B64" s="116" t="s">
        <v>30</v>
      </c>
      <c r="C64" s="137" t="s">
        <v>3</v>
      </c>
      <c r="D64" s="137">
        <f t="shared" si="17"/>
        <v>1310720</v>
      </c>
      <c r="E64" s="118">
        <f t="shared" si="14"/>
        <v>1.31072</v>
      </c>
      <c r="F64" s="119">
        <v>19</v>
      </c>
      <c r="G64" s="120">
        <v>176.12</v>
      </c>
      <c r="H64" s="138">
        <v>175</v>
      </c>
      <c r="I64" s="138">
        <v>210.8</v>
      </c>
      <c r="J64" s="139">
        <v>23.8</v>
      </c>
      <c r="K64" s="139">
        <v>26.3</v>
      </c>
      <c r="L64" s="400">
        <f>VLOOKUP($A64,'Master Data'!$A$3:$AP$151,42,1)</f>
        <v>200</v>
      </c>
      <c r="M64" s="401">
        <f>VLOOKUP($A64,'Master Data'!$A$3:$AP$151,41,1)</f>
        <v>25.79715617196885</v>
      </c>
      <c r="N64" s="139">
        <v>0.71</v>
      </c>
      <c r="O64" s="139">
        <v>0.65</v>
      </c>
      <c r="P64" s="300">
        <v>2</v>
      </c>
      <c r="Q64" s="300">
        <v>1</v>
      </c>
      <c r="R64" s="123">
        <f>IF(E64&lt;1.1,'Proposed Spec Lines'!D$3+'Proposed Spec Lines'!D$4*'Spec Analysis_ScreenSize'!E64+'Proposed Spec Lines'!D$5*'Spec Analysis_ScreenSize'!G64,'Proposed Spec Lines'!C$3+'Proposed Spec Lines'!C$4*'Spec Analysis_ScreenSize'!E64+'Proposed Spec Lines'!C$5*'Spec Analysis_ScreenSize'!G64)</f>
        <v>23.60248</v>
      </c>
      <c r="S64" s="124">
        <f t="shared" si="15"/>
        <v>0</v>
      </c>
      <c r="T64" s="124">
        <f t="shared" si="11"/>
        <v>0</v>
      </c>
      <c r="U64" s="212">
        <f t="shared" si="3"/>
        <v>25.79715617196885</v>
      </c>
      <c r="V64" s="212">
        <f t="shared" si="4"/>
        <v>23.60248</v>
      </c>
      <c r="W64" s="13">
        <f t="shared" si="5"/>
        <v>0.71</v>
      </c>
      <c r="X64" s="13">
        <f t="shared" si="6"/>
        <v>0.71</v>
      </c>
      <c r="Y64" s="13">
        <f t="shared" si="7"/>
        <v>0.65</v>
      </c>
      <c r="Z64" s="13">
        <f t="shared" si="8"/>
        <v>0.65</v>
      </c>
      <c r="AB64" s="240">
        <f t="shared" si="12"/>
        <v>0.9487666034155597</v>
      </c>
    </row>
    <row r="65" spans="1:28" ht="12.75">
      <c r="A65" s="116">
        <v>146</v>
      </c>
      <c r="B65" s="116" t="s">
        <v>30</v>
      </c>
      <c r="C65" s="135" t="s">
        <v>3</v>
      </c>
      <c r="D65" s="135">
        <f t="shared" si="17"/>
        <v>1310720</v>
      </c>
      <c r="E65" s="118">
        <f t="shared" si="14"/>
        <v>1.31072</v>
      </c>
      <c r="F65" s="119">
        <v>19</v>
      </c>
      <c r="G65" s="120">
        <v>175.60744497488997</v>
      </c>
      <c r="H65" s="136">
        <v>174.3</v>
      </c>
      <c r="I65" s="136">
        <v>254</v>
      </c>
      <c r="J65" s="129">
        <v>25.3</v>
      </c>
      <c r="K65" s="129">
        <v>32.7</v>
      </c>
      <c r="L65" s="400">
        <f>VLOOKUP($A65,'Master Data'!$A$3:$AP$151,42,1)</f>
        <v>200</v>
      </c>
      <c r="M65" s="401">
        <f>VLOOKUP($A65,'Master Data'!$A$3:$AP$151,41,1)</f>
        <v>27.450859877682454</v>
      </c>
      <c r="N65" s="129">
        <v>0.8</v>
      </c>
      <c r="O65" s="129">
        <v>0.7</v>
      </c>
      <c r="P65" s="300">
        <v>2</v>
      </c>
      <c r="Q65" s="300">
        <v>1</v>
      </c>
      <c r="R65" s="123">
        <f>IF(E65&lt;1.1,'Proposed Spec Lines'!D$3+'Proposed Spec Lines'!D$4*'Spec Analysis_ScreenSize'!E65+'Proposed Spec Lines'!D$5*'Spec Analysis_ScreenSize'!G65,'Proposed Spec Lines'!C$3+'Proposed Spec Lines'!C$4*'Spec Analysis_ScreenSize'!E65+'Proposed Spec Lines'!C$5*'Spec Analysis_ScreenSize'!G65)</f>
        <v>23.5768522487445</v>
      </c>
      <c r="S65" s="124">
        <f t="shared" si="15"/>
        <v>0</v>
      </c>
      <c r="T65" s="124">
        <f t="shared" si="11"/>
        <v>0</v>
      </c>
      <c r="U65" s="212">
        <f t="shared" si="3"/>
        <v>27.450859877682454</v>
      </c>
      <c r="V65" s="212">
        <f t="shared" si="4"/>
        <v>23.5768522487445</v>
      </c>
      <c r="W65" s="13">
        <f t="shared" si="5"/>
        <v>0.8</v>
      </c>
      <c r="X65" s="13">
        <f t="shared" si="6"/>
        <v>0.8</v>
      </c>
      <c r="Y65" s="13">
        <f t="shared" si="7"/>
        <v>0.7</v>
      </c>
      <c r="Z65" s="13">
        <f t="shared" si="8"/>
        <v>0.7</v>
      </c>
      <c r="AB65" s="240">
        <f t="shared" si="12"/>
        <v>0.7874015748031497</v>
      </c>
    </row>
    <row r="66" spans="1:28" ht="12.75">
      <c r="A66" s="126">
        <v>147</v>
      </c>
      <c r="B66" s="116" t="s">
        <v>30</v>
      </c>
      <c r="C66" s="134" t="s">
        <v>3</v>
      </c>
      <c r="D66" s="134">
        <f t="shared" si="17"/>
        <v>1310720</v>
      </c>
      <c r="E66" s="118">
        <f aca="true" t="shared" si="18" ref="E66:E97">D66/10^6</f>
        <v>1.31072</v>
      </c>
      <c r="F66" s="119">
        <v>19</v>
      </c>
      <c r="G66" s="120">
        <v>175.60511178622357</v>
      </c>
      <c r="H66" s="121">
        <v>174.9</v>
      </c>
      <c r="I66" s="121">
        <v>211</v>
      </c>
      <c r="J66" s="122">
        <v>27</v>
      </c>
      <c r="K66" s="122">
        <v>31.5</v>
      </c>
      <c r="L66" s="400">
        <f>VLOOKUP($A66,'Master Data'!$A$3:$AP$151,42,1)</f>
        <v>200</v>
      </c>
      <c r="M66" s="401">
        <f>VLOOKUP($A66,'Master Data'!$A$3:$AP$151,41,1)</f>
        <v>29.401710548338016</v>
      </c>
      <c r="N66" s="122">
        <v>1</v>
      </c>
      <c r="O66" s="122">
        <v>0.7</v>
      </c>
      <c r="P66" s="300">
        <v>2</v>
      </c>
      <c r="Q66" s="300">
        <v>1</v>
      </c>
      <c r="R66" s="123">
        <f>IF(E66&lt;1.1,'Proposed Spec Lines'!D$3+'Proposed Spec Lines'!D$4*'Spec Analysis_ScreenSize'!E66+'Proposed Spec Lines'!D$5*'Spec Analysis_ScreenSize'!G66,'Proposed Spec Lines'!C$3+'Proposed Spec Lines'!C$4*'Spec Analysis_ScreenSize'!E66+'Proposed Spec Lines'!C$5*'Spec Analysis_ScreenSize'!G66)</f>
        <v>23.57673558931118</v>
      </c>
      <c r="S66" s="124">
        <f aca="true" t="shared" si="19" ref="S66:S97">IF(R66&gt;=M66,1,0)</f>
        <v>0</v>
      </c>
      <c r="T66" s="124">
        <f t="shared" si="11"/>
        <v>0</v>
      </c>
      <c r="U66" s="212">
        <f t="shared" si="3"/>
        <v>29.401710548338016</v>
      </c>
      <c r="V66" s="212">
        <f t="shared" si="4"/>
        <v>23.57673558931118</v>
      </c>
      <c r="W66" s="13">
        <f t="shared" si="5"/>
        <v>1</v>
      </c>
      <c r="X66" s="13">
        <f t="shared" si="6"/>
        <v>1</v>
      </c>
      <c r="Y66" s="13">
        <f t="shared" si="7"/>
        <v>0.7</v>
      </c>
      <c r="Z66" s="13">
        <f t="shared" si="8"/>
        <v>0.7</v>
      </c>
      <c r="AB66" s="240">
        <f t="shared" si="12"/>
        <v>0.9478672985781991</v>
      </c>
    </row>
    <row r="67" spans="1:28" ht="12.75">
      <c r="A67" s="116">
        <v>148</v>
      </c>
      <c r="B67" s="116" t="s">
        <v>30</v>
      </c>
      <c r="C67" s="135" t="s">
        <v>3</v>
      </c>
      <c r="D67" s="135">
        <f t="shared" si="17"/>
        <v>1310720</v>
      </c>
      <c r="E67" s="118">
        <f t="shared" si="18"/>
        <v>1.31072</v>
      </c>
      <c r="F67" s="119">
        <v>19</v>
      </c>
      <c r="G67" s="120">
        <v>198.8715977431955</v>
      </c>
      <c r="H67" s="136">
        <v>175.2</v>
      </c>
      <c r="I67" s="136">
        <v>227</v>
      </c>
      <c r="J67" s="129">
        <v>26.5</v>
      </c>
      <c r="K67" s="129">
        <v>31.7</v>
      </c>
      <c r="L67" s="400">
        <f>VLOOKUP($A67,'Master Data'!$A$3:$AP$151,42,1)</f>
        <v>200</v>
      </c>
      <c r="M67" s="401">
        <f>VLOOKUP($A67,'Master Data'!$A$3:$AP$151,41,1)</f>
        <v>27.89597053918807</v>
      </c>
      <c r="N67" s="129">
        <v>0.9</v>
      </c>
      <c r="O67" s="129">
        <v>0.7</v>
      </c>
      <c r="P67" s="300">
        <v>2</v>
      </c>
      <c r="Q67" s="300">
        <v>1</v>
      </c>
      <c r="R67" s="123">
        <f>IF(E67&lt;1.1,'Proposed Spec Lines'!D$3+'Proposed Spec Lines'!D$4*'Spec Analysis_ScreenSize'!E67+'Proposed Spec Lines'!D$5*'Spec Analysis_ScreenSize'!G67,'Proposed Spec Lines'!C$3+'Proposed Spec Lines'!C$4*'Spec Analysis_ScreenSize'!E67+'Proposed Spec Lines'!C$5*'Spec Analysis_ScreenSize'!G67)</f>
        <v>24.740059887159777</v>
      </c>
      <c r="S67" s="124">
        <f t="shared" si="19"/>
        <v>0</v>
      </c>
      <c r="T67" s="124">
        <f aca="true" t="shared" si="20" ref="T67:T130">IF(R67&gt;=M67,IF(N67&lt;=P67,IF(O67&lt;=Q67,1,0),0),0)</f>
        <v>0</v>
      </c>
      <c r="U67" s="212">
        <f aca="true" t="shared" si="21" ref="U67:U130">M67</f>
        <v>27.89597053918807</v>
      </c>
      <c r="V67" s="212">
        <f aca="true" t="shared" si="22" ref="V67:V130">IF(M67&lt;=R67,M67,R67)</f>
        <v>24.740059887159777</v>
      </c>
      <c r="W67" s="13">
        <f aca="true" t="shared" si="23" ref="W67:W130">N67</f>
        <v>0.9</v>
      </c>
      <c r="X67" s="13">
        <f aca="true" t="shared" si="24" ref="X67:X130">IF(W67&lt;=2,W67,2)</f>
        <v>0.9</v>
      </c>
      <c r="Y67" s="13">
        <f aca="true" t="shared" si="25" ref="Y67:Y130">O67</f>
        <v>0.7</v>
      </c>
      <c r="Z67" s="13">
        <f aca="true" t="shared" si="26" ref="Z67:Z130">IF(Y67&lt;=1,Y67,1)</f>
        <v>0.7</v>
      </c>
      <c r="AB67" s="240">
        <f t="shared" si="12"/>
        <v>0.8810572687224669</v>
      </c>
    </row>
    <row r="68" spans="1:28" ht="12.75">
      <c r="A68" s="133">
        <v>149</v>
      </c>
      <c r="B68" s="116" t="s">
        <v>30</v>
      </c>
      <c r="C68" s="135" t="s">
        <v>3</v>
      </c>
      <c r="D68" s="135">
        <f t="shared" si="17"/>
        <v>1310720</v>
      </c>
      <c r="E68" s="118">
        <f t="shared" si="18"/>
        <v>1.31072</v>
      </c>
      <c r="F68" s="119">
        <v>19</v>
      </c>
      <c r="G68" s="120">
        <v>175.60511178622357</v>
      </c>
      <c r="H68" s="136">
        <v>175.5</v>
      </c>
      <c r="I68" s="136">
        <v>187</v>
      </c>
      <c r="J68" s="129">
        <v>22.5</v>
      </c>
      <c r="K68" s="129">
        <v>31</v>
      </c>
      <c r="L68" s="400">
        <f>VLOOKUP($A68,'Master Data'!$A$3:$AP$151,42,1)</f>
        <v>200</v>
      </c>
      <c r="M68" s="401">
        <f>VLOOKUP($A68,'Master Data'!$A$3:$AP$151,41,1)</f>
        <v>27.491246961122773</v>
      </c>
      <c r="N68" s="129">
        <v>0.8</v>
      </c>
      <c r="O68" s="129">
        <v>0.65</v>
      </c>
      <c r="P68" s="300">
        <v>2</v>
      </c>
      <c r="Q68" s="300">
        <v>1</v>
      </c>
      <c r="R68" s="123">
        <f>IF(E68&lt;1.1,'Proposed Spec Lines'!D$3+'Proposed Spec Lines'!D$4*'Spec Analysis_ScreenSize'!E68+'Proposed Spec Lines'!D$5*'Spec Analysis_ScreenSize'!G68,'Proposed Spec Lines'!C$3+'Proposed Spec Lines'!C$4*'Spec Analysis_ScreenSize'!E68+'Proposed Spec Lines'!C$5*'Spec Analysis_ScreenSize'!G68)</f>
        <v>23.57673558931118</v>
      </c>
      <c r="S68" s="124">
        <f t="shared" si="19"/>
        <v>0</v>
      </c>
      <c r="T68" s="124">
        <f t="shared" si="20"/>
        <v>0</v>
      </c>
      <c r="U68" s="212">
        <f t="shared" si="21"/>
        <v>27.491246961122773</v>
      </c>
      <c r="V68" s="212">
        <f t="shared" si="22"/>
        <v>23.57673558931118</v>
      </c>
      <c r="W68" s="13">
        <f t="shared" si="23"/>
        <v>0.8</v>
      </c>
      <c r="X68" s="13">
        <f t="shared" si="24"/>
        <v>0.8</v>
      </c>
      <c r="Y68" s="13">
        <f t="shared" si="25"/>
        <v>0.65</v>
      </c>
      <c r="Z68" s="13">
        <f t="shared" si="26"/>
        <v>0.65</v>
      </c>
      <c r="AB68" s="240">
        <f t="shared" si="12"/>
        <v>1.0695187165775402</v>
      </c>
    </row>
    <row r="69" spans="1:28" ht="12.75">
      <c r="A69" s="126">
        <v>39</v>
      </c>
      <c r="B69" s="116" t="s">
        <v>30</v>
      </c>
      <c r="C69" s="143" t="s">
        <v>4</v>
      </c>
      <c r="D69" s="143">
        <f>1440*900</f>
        <v>1296000</v>
      </c>
      <c r="E69" s="118">
        <f t="shared" si="18"/>
        <v>1.296</v>
      </c>
      <c r="F69" s="119">
        <v>19.05</v>
      </c>
      <c r="G69" s="120">
        <v>160</v>
      </c>
      <c r="H69" s="144">
        <v>175</v>
      </c>
      <c r="I69" s="144">
        <v>295</v>
      </c>
      <c r="J69" s="145">
        <v>23.5</v>
      </c>
      <c r="K69" s="145">
        <v>31.4</v>
      </c>
      <c r="L69" s="400">
        <f>VLOOKUP($A69,'Master Data'!$A$3:$AP$151,42,1)</f>
        <v>200</v>
      </c>
      <c r="M69" s="401">
        <f>VLOOKUP($A69,'Master Data'!$A$3:$AP$151,41,1)</f>
        <v>24.681612903225805</v>
      </c>
      <c r="N69" s="145">
        <v>0.61</v>
      </c>
      <c r="O69" s="145">
        <v>0.53</v>
      </c>
      <c r="P69" s="300">
        <v>2</v>
      </c>
      <c r="Q69" s="300">
        <v>1</v>
      </c>
      <c r="R69" s="123">
        <f>IF(E69&lt;1.1,'Proposed Spec Lines'!D$3+'Proposed Spec Lines'!D$4*'Spec Analysis_ScreenSize'!E69+'Proposed Spec Lines'!D$5*'Spec Analysis_ScreenSize'!G69,'Proposed Spec Lines'!C$3+'Proposed Spec Lines'!C$4*'Spec Analysis_ScreenSize'!E69+'Proposed Spec Lines'!C$5*'Spec Analysis_ScreenSize'!G69)</f>
        <v>22.664</v>
      </c>
      <c r="S69" s="124">
        <f t="shared" si="19"/>
        <v>0</v>
      </c>
      <c r="T69" s="124">
        <f t="shared" si="20"/>
        <v>0</v>
      </c>
      <c r="U69" s="212">
        <f t="shared" si="21"/>
        <v>24.681612903225805</v>
      </c>
      <c r="V69" s="212">
        <f t="shared" si="22"/>
        <v>22.664</v>
      </c>
      <c r="W69" s="13">
        <f t="shared" si="23"/>
        <v>0.61</v>
      </c>
      <c r="X69" s="13">
        <f t="shared" si="24"/>
        <v>0.61</v>
      </c>
      <c r="Y69" s="13">
        <f t="shared" si="25"/>
        <v>0.53</v>
      </c>
      <c r="Z69" s="13">
        <f t="shared" si="26"/>
        <v>0.53</v>
      </c>
      <c r="AB69" s="240">
        <f t="shared" si="12"/>
        <v>0.6779661016949152</v>
      </c>
    </row>
    <row r="70" spans="1:28" ht="12.75">
      <c r="A70" s="116">
        <v>45</v>
      </c>
      <c r="B70" s="116" t="s">
        <v>30</v>
      </c>
      <c r="C70" s="143" t="s">
        <v>4</v>
      </c>
      <c r="D70" s="143">
        <f>1440*900</f>
        <v>1296000</v>
      </c>
      <c r="E70" s="118">
        <f t="shared" si="18"/>
        <v>1.296</v>
      </c>
      <c r="F70" s="119">
        <v>19.05</v>
      </c>
      <c r="G70" s="120">
        <v>160</v>
      </c>
      <c r="H70" s="144">
        <v>175</v>
      </c>
      <c r="I70" s="144">
        <v>298</v>
      </c>
      <c r="J70" s="145">
        <v>23.4</v>
      </c>
      <c r="K70" s="145">
        <v>31.4</v>
      </c>
      <c r="L70" s="400">
        <f>VLOOKUP($A70,'Master Data'!$A$3:$AP$151,42,1)</f>
        <v>200</v>
      </c>
      <c r="M70" s="401">
        <f>VLOOKUP($A70,'Master Data'!$A$3:$AP$151,41,1)</f>
        <v>24.55447592250066</v>
      </c>
      <c r="N70" s="145">
        <v>0.62</v>
      </c>
      <c r="O70" s="145">
        <v>0.52</v>
      </c>
      <c r="P70" s="300">
        <v>2</v>
      </c>
      <c r="Q70" s="300">
        <v>1</v>
      </c>
      <c r="R70" s="123">
        <f>IF(E70&lt;1.1,'Proposed Spec Lines'!D$3+'Proposed Spec Lines'!D$4*'Spec Analysis_ScreenSize'!E70+'Proposed Spec Lines'!D$5*'Spec Analysis_ScreenSize'!G70,'Proposed Spec Lines'!C$3+'Proposed Spec Lines'!C$4*'Spec Analysis_ScreenSize'!E70+'Proposed Spec Lines'!C$5*'Spec Analysis_ScreenSize'!G70)</f>
        <v>22.664</v>
      </c>
      <c r="S70" s="124">
        <f t="shared" si="19"/>
        <v>0</v>
      </c>
      <c r="T70" s="124">
        <f t="shared" si="20"/>
        <v>0</v>
      </c>
      <c r="U70" s="212">
        <f t="shared" si="21"/>
        <v>24.55447592250066</v>
      </c>
      <c r="V70" s="212">
        <f t="shared" si="22"/>
        <v>22.664</v>
      </c>
      <c r="W70" s="13">
        <f t="shared" si="23"/>
        <v>0.62</v>
      </c>
      <c r="X70" s="13">
        <f t="shared" si="24"/>
        <v>0.62</v>
      </c>
      <c r="Y70" s="13">
        <f t="shared" si="25"/>
        <v>0.52</v>
      </c>
      <c r="Z70" s="13">
        <f t="shared" si="26"/>
        <v>0.52</v>
      </c>
      <c r="AB70" s="240">
        <f t="shared" si="12"/>
        <v>0.6711409395973155</v>
      </c>
    </row>
    <row r="71" spans="1:28" ht="12.75">
      <c r="A71" s="146">
        <v>89</v>
      </c>
      <c r="B71" s="146" t="s">
        <v>30</v>
      </c>
      <c r="C71" s="147" t="s">
        <v>2</v>
      </c>
      <c r="D71" s="147">
        <f aca="true" t="shared" si="27" ref="D71:D102">1680*1050</f>
        <v>1764000</v>
      </c>
      <c r="E71" s="148">
        <f t="shared" si="18"/>
        <v>1.764</v>
      </c>
      <c r="F71" s="149">
        <v>20</v>
      </c>
      <c r="G71" s="150">
        <v>246.5187890468305</v>
      </c>
      <c r="H71" s="151">
        <v>178</v>
      </c>
      <c r="I71" s="151">
        <v>307</v>
      </c>
      <c r="J71" s="152">
        <v>29.5</v>
      </c>
      <c r="K71" s="153">
        <v>39.4</v>
      </c>
      <c r="L71" s="402">
        <f>VLOOKUP($A71,'Master Data'!$A$3:$AP$151,42,1)</f>
        <v>200</v>
      </c>
      <c r="M71" s="403">
        <f>VLOOKUP($A71,'Master Data'!$A$3:$AP$151,41,1)</f>
        <v>32.73574175927434</v>
      </c>
      <c r="N71" s="153">
        <v>0.73</v>
      </c>
      <c r="O71" s="153">
        <v>0.68</v>
      </c>
      <c r="P71" s="301">
        <v>2</v>
      </c>
      <c r="Q71" s="301">
        <v>1</v>
      </c>
      <c r="R71" s="154">
        <f>IF(E71&lt;1.1,'Proposed Spec Lines'!D$3+'Proposed Spec Lines'!D$4*'Spec Analysis_ScreenSize'!E71+'Proposed Spec Lines'!D$5*'Spec Analysis_ScreenSize'!G71,'Proposed Spec Lines'!C$3+'Proposed Spec Lines'!C$4*'Spec Analysis_ScreenSize'!E71+'Proposed Spec Lines'!C$5*'Spec Analysis_ScreenSize'!G71)</f>
        <v>31.201939452341524</v>
      </c>
      <c r="S71" s="155">
        <f t="shared" si="19"/>
        <v>0</v>
      </c>
      <c r="T71" s="155">
        <f t="shared" si="20"/>
        <v>0</v>
      </c>
      <c r="U71" s="212">
        <f t="shared" si="21"/>
        <v>32.73574175927434</v>
      </c>
      <c r="V71" s="212">
        <f t="shared" si="22"/>
        <v>31.201939452341524</v>
      </c>
      <c r="W71" s="13">
        <f t="shared" si="23"/>
        <v>0.73</v>
      </c>
      <c r="X71" s="13">
        <f t="shared" si="24"/>
        <v>0.73</v>
      </c>
      <c r="Y71" s="13">
        <f t="shared" si="25"/>
        <v>0.68</v>
      </c>
      <c r="Z71" s="13">
        <f t="shared" si="26"/>
        <v>0.68</v>
      </c>
      <c r="AB71" s="240">
        <f t="shared" si="12"/>
        <v>0.6514657980456026</v>
      </c>
    </row>
    <row r="72" spans="1:28" ht="12.75">
      <c r="A72" s="156">
        <v>90</v>
      </c>
      <c r="B72" s="146" t="s">
        <v>30</v>
      </c>
      <c r="C72" s="146" t="s">
        <v>2</v>
      </c>
      <c r="D72" s="146">
        <f t="shared" si="27"/>
        <v>1764000</v>
      </c>
      <c r="E72" s="148">
        <f t="shared" si="18"/>
        <v>1.764</v>
      </c>
      <c r="F72" s="149">
        <v>20</v>
      </c>
      <c r="G72" s="150">
        <v>246.5187890468305</v>
      </c>
      <c r="H72" s="151">
        <v>177</v>
      </c>
      <c r="I72" s="151">
        <v>248</v>
      </c>
      <c r="J72" s="152">
        <v>31.2</v>
      </c>
      <c r="K72" s="152">
        <v>38.8</v>
      </c>
      <c r="L72" s="402">
        <f>VLOOKUP($A72,'Master Data'!$A$3:$AP$151,42,1)</f>
        <v>200</v>
      </c>
      <c r="M72" s="403">
        <f>VLOOKUP($A72,'Master Data'!$A$3:$AP$151,41,1)</f>
        <v>34.172694007653035</v>
      </c>
      <c r="N72" s="152">
        <v>0.91</v>
      </c>
      <c r="O72" s="152">
        <v>0.85</v>
      </c>
      <c r="P72" s="301">
        <v>2</v>
      </c>
      <c r="Q72" s="301">
        <v>1</v>
      </c>
      <c r="R72" s="154">
        <f>IF(E72&lt;1.1,'Proposed Spec Lines'!D$3+'Proposed Spec Lines'!D$4*'Spec Analysis_ScreenSize'!E72+'Proposed Spec Lines'!D$5*'Spec Analysis_ScreenSize'!G72,'Proposed Spec Lines'!C$3+'Proposed Spec Lines'!C$4*'Spec Analysis_ScreenSize'!E72+'Proposed Spec Lines'!C$5*'Spec Analysis_ScreenSize'!G72)</f>
        <v>31.201939452341524</v>
      </c>
      <c r="S72" s="155">
        <f t="shared" si="19"/>
        <v>0</v>
      </c>
      <c r="T72" s="155">
        <f t="shared" si="20"/>
        <v>0</v>
      </c>
      <c r="U72" s="212">
        <f t="shared" si="21"/>
        <v>34.172694007653035</v>
      </c>
      <c r="V72" s="212">
        <f t="shared" si="22"/>
        <v>31.201939452341524</v>
      </c>
      <c r="W72" s="13">
        <f t="shared" si="23"/>
        <v>0.91</v>
      </c>
      <c r="X72" s="13">
        <f t="shared" si="24"/>
        <v>0.91</v>
      </c>
      <c r="Y72" s="13">
        <f t="shared" si="25"/>
        <v>0.85</v>
      </c>
      <c r="Z72" s="13">
        <f t="shared" si="26"/>
        <v>0.85</v>
      </c>
      <c r="AB72" s="240">
        <f t="shared" si="12"/>
        <v>0.8064516129032258</v>
      </c>
    </row>
    <row r="73" spans="1:28" ht="12.75">
      <c r="A73" s="146">
        <v>104</v>
      </c>
      <c r="B73" s="146" t="s">
        <v>30</v>
      </c>
      <c r="C73" s="157" t="s">
        <v>2</v>
      </c>
      <c r="D73" s="157">
        <f t="shared" si="27"/>
        <v>1764000</v>
      </c>
      <c r="E73" s="148">
        <f t="shared" si="18"/>
        <v>1.764</v>
      </c>
      <c r="F73" s="149">
        <v>20</v>
      </c>
      <c r="G73" s="150">
        <v>180.2</v>
      </c>
      <c r="H73" s="158">
        <v>175</v>
      </c>
      <c r="I73" s="158">
        <v>272.2</v>
      </c>
      <c r="J73" s="159">
        <v>28.8</v>
      </c>
      <c r="K73" s="159">
        <v>37.8</v>
      </c>
      <c r="L73" s="402">
        <f>VLOOKUP($A73,'Master Data'!$A$3:$AP$151,42,1)</f>
        <v>200</v>
      </c>
      <c r="M73" s="403">
        <f>VLOOKUP($A73,'Master Data'!$A$3:$AP$151,41,1)</f>
        <v>31.408785198732645</v>
      </c>
      <c r="N73" s="159">
        <v>0.74</v>
      </c>
      <c r="O73" s="159">
        <v>0.69</v>
      </c>
      <c r="P73" s="301">
        <v>2</v>
      </c>
      <c r="Q73" s="301">
        <v>1</v>
      </c>
      <c r="R73" s="154">
        <f>IF(E73&lt;1.1,'Proposed Spec Lines'!D$3+'Proposed Spec Lines'!D$4*'Spec Analysis_ScreenSize'!E73+'Proposed Spec Lines'!D$5*'Spec Analysis_ScreenSize'!G73,'Proposed Spec Lines'!C$3+'Proposed Spec Lines'!C$4*'Spec Analysis_ScreenSize'!E73+'Proposed Spec Lines'!C$5*'Spec Analysis_ScreenSize'!G73)</f>
        <v>27.885999999999996</v>
      </c>
      <c r="S73" s="155">
        <f t="shared" si="19"/>
        <v>0</v>
      </c>
      <c r="T73" s="155">
        <f t="shared" si="20"/>
        <v>0</v>
      </c>
      <c r="U73" s="212">
        <f t="shared" si="21"/>
        <v>31.408785198732645</v>
      </c>
      <c r="V73" s="212">
        <f t="shared" si="22"/>
        <v>27.885999999999996</v>
      </c>
      <c r="W73" s="13">
        <f t="shared" si="23"/>
        <v>0.74</v>
      </c>
      <c r="X73" s="13">
        <f t="shared" si="24"/>
        <v>0.74</v>
      </c>
      <c r="Y73" s="13">
        <f t="shared" si="25"/>
        <v>0.69</v>
      </c>
      <c r="Z73" s="13">
        <f t="shared" si="26"/>
        <v>0.69</v>
      </c>
      <c r="AB73" s="240">
        <f t="shared" si="12"/>
        <v>0.7347538574577517</v>
      </c>
    </row>
    <row r="74" spans="1:28" ht="12.75">
      <c r="A74" s="160">
        <v>107</v>
      </c>
      <c r="B74" s="146" t="s">
        <v>30</v>
      </c>
      <c r="C74" s="157" t="s">
        <v>2</v>
      </c>
      <c r="D74" s="157">
        <f t="shared" si="27"/>
        <v>1764000</v>
      </c>
      <c r="E74" s="148">
        <f t="shared" si="18"/>
        <v>1.764</v>
      </c>
      <c r="F74" s="149">
        <v>20</v>
      </c>
      <c r="G74" s="150">
        <v>180.2</v>
      </c>
      <c r="H74" s="158">
        <v>175</v>
      </c>
      <c r="I74" s="158">
        <v>270.3</v>
      </c>
      <c r="J74" s="159">
        <v>28.4</v>
      </c>
      <c r="K74" s="159">
        <v>37.2</v>
      </c>
      <c r="L74" s="402">
        <f>VLOOKUP($A74,'Master Data'!$A$3:$AP$151,42,1)</f>
        <v>200</v>
      </c>
      <c r="M74" s="403">
        <f>VLOOKUP($A74,'Master Data'!$A$3:$AP$151,41,1)</f>
        <v>31.227779769155454</v>
      </c>
      <c r="N74" s="159">
        <v>0.72</v>
      </c>
      <c r="O74" s="159">
        <v>0.7</v>
      </c>
      <c r="P74" s="301">
        <v>2</v>
      </c>
      <c r="Q74" s="301">
        <v>1</v>
      </c>
      <c r="R74" s="154">
        <f>IF(E74&lt;1.1,'Proposed Spec Lines'!D$3+'Proposed Spec Lines'!D$4*'Spec Analysis_ScreenSize'!E74+'Proposed Spec Lines'!D$5*'Spec Analysis_ScreenSize'!G74,'Proposed Spec Lines'!C$3+'Proposed Spec Lines'!C$4*'Spec Analysis_ScreenSize'!E74+'Proposed Spec Lines'!C$5*'Spec Analysis_ScreenSize'!G74)</f>
        <v>27.885999999999996</v>
      </c>
      <c r="S74" s="155">
        <f t="shared" si="19"/>
        <v>0</v>
      </c>
      <c r="T74" s="155">
        <f t="shared" si="20"/>
        <v>0</v>
      </c>
      <c r="U74" s="212">
        <f t="shared" si="21"/>
        <v>31.227779769155454</v>
      </c>
      <c r="V74" s="212">
        <f t="shared" si="22"/>
        <v>27.885999999999996</v>
      </c>
      <c r="W74" s="13">
        <f t="shared" si="23"/>
        <v>0.72</v>
      </c>
      <c r="X74" s="13">
        <f t="shared" si="24"/>
        <v>0.72</v>
      </c>
      <c r="Y74" s="13">
        <f t="shared" si="25"/>
        <v>0.7</v>
      </c>
      <c r="Z74" s="13">
        <f t="shared" si="26"/>
        <v>0.7</v>
      </c>
      <c r="AB74" s="240">
        <f t="shared" si="12"/>
        <v>0.7399186089530151</v>
      </c>
    </row>
    <row r="75" spans="1:28" ht="12.75">
      <c r="A75" s="146">
        <v>18</v>
      </c>
      <c r="B75" s="146" t="s">
        <v>30</v>
      </c>
      <c r="C75" s="161" t="s">
        <v>2</v>
      </c>
      <c r="D75" s="161">
        <f t="shared" si="27"/>
        <v>1764000</v>
      </c>
      <c r="E75" s="148">
        <f t="shared" si="18"/>
        <v>1.764</v>
      </c>
      <c r="F75" s="149">
        <v>20.1</v>
      </c>
      <c r="G75" s="150">
        <v>183.4623</v>
      </c>
      <c r="H75" s="162">
        <v>175</v>
      </c>
      <c r="I75" s="163">
        <v>264.5</v>
      </c>
      <c r="J75" s="164">
        <v>29.99</v>
      </c>
      <c r="K75" s="164">
        <v>38.9</v>
      </c>
      <c r="L75" s="402">
        <f>VLOOKUP($A75,'Master Data'!$A$3:$AP$151,42,1)</f>
        <v>170.078</v>
      </c>
      <c r="M75" s="403">
        <f>VLOOKUP($A75,'Master Data'!$A$3:$AP$151,41,1)</f>
        <v>29.440862531722825</v>
      </c>
      <c r="N75" s="164">
        <v>0.58</v>
      </c>
      <c r="O75" s="164">
        <v>0.38</v>
      </c>
      <c r="P75" s="301">
        <v>2</v>
      </c>
      <c r="Q75" s="301">
        <v>1</v>
      </c>
      <c r="R75" s="154">
        <f>IF(E75&lt;1.1,'Proposed Spec Lines'!D$3+'Proposed Spec Lines'!D$4*'Spec Analysis_ScreenSize'!E75+'Proposed Spec Lines'!D$5*'Spec Analysis_ScreenSize'!G75,'Proposed Spec Lines'!C$3+'Proposed Spec Lines'!C$4*'Spec Analysis_ScreenSize'!E75+'Proposed Spec Lines'!C$5*'Spec Analysis_ScreenSize'!G75)</f>
        <v>28.049115</v>
      </c>
      <c r="S75" s="155">
        <f t="shared" si="19"/>
        <v>0</v>
      </c>
      <c r="T75" s="155">
        <f t="shared" si="20"/>
        <v>0</v>
      </c>
      <c r="U75" s="212">
        <f t="shared" si="21"/>
        <v>29.440862531722825</v>
      </c>
      <c r="V75" s="212">
        <f t="shared" si="22"/>
        <v>28.049115</v>
      </c>
      <c r="W75" s="13">
        <f t="shared" si="23"/>
        <v>0.58</v>
      </c>
      <c r="X75" s="13">
        <f t="shared" si="24"/>
        <v>0.58</v>
      </c>
      <c r="Y75" s="13">
        <f t="shared" si="25"/>
        <v>0.38</v>
      </c>
      <c r="Z75" s="13">
        <f t="shared" si="26"/>
        <v>0.38</v>
      </c>
      <c r="AB75" s="240">
        <f t="shared" si="12"/>
        <v>0.7561436672967864</v>
      </c>
    </row>
    <row r="76" spans="1:28" ht="12.75">
      <c r="A76" s="165">
        <v>31</v>
      </c>
      <c r="B76" s="146" t="s">
        <v>30</v>
      </c>
      <c r="C76" s="161" t="s">
        <v>2</v>
      </c>
      <c r="D76" s="161">
        <f t="shared" si="27"/>
        <v>1764000</v>
      </c>
      <c r="E76" s="148">
        <f t="shared" si="18"/>
        <v>1.764</v>
      </c>
      <c r="F76" s="149">
        <v>20.1</v>
      </c>
      <c r="G76" s="150">
        <v>182.97</v>
      </c>
      <c r="H76" s="163">
        <v>175</v>
      </c>
      <c r="I76" s="163">
        <v>280</v>
      </c>
      <c r="J76" s="166">
        <v>26.7</v>
      </c>
      <c r="K76" s="166">
        <v>32.3</v>
      </c>
      <c r="L76" s="402">
        <f>VLOOKUP($A76,'Master Data'!$A$3:$AP$151,42,1)</f>
        <v>200</v>
      </c>
      <c r="M76" s="403">
        <f>VLOOKUP($A76,'Master Data'!$A$3:$AP$151,41,1)</f>
        <v>28.025647454514264</v>
      </c>
      <c r="N76" s="166">
        <v>0.63</v>
      </c>
      <c r="O76" s="166">
        <v>0.53</v>
      </c>
      <c r="P76" s="301">
        <v>2</v>
      </c>
      <c r="Q76" s="301">
        <v>1</v>
      </c>
      <c r="R76" s="154">
        <f>IF(E76&lt;1.1,'Proposed Spec Lines'!D$3+'Proposed Spec Lines'!D$4*'Spec Analysis_ScreenSize'!E76+'Proposed Spec Lines'!D$5*'Spec Analysis_ScreenSize'!G76,'Proposed Spec Lines'!C$3+'Proposed Spec Lines'!C$4*'Spec Analysis_ScreenSize'!E76+'Proposed Spec Lines'!C$5*'Spec Analysis_ScreenSize'!G76)</f>
        <v>28.024499999999996</v>
      </c>
      <c r="S76" s="155">
        <f t="shared" si="19"/>
        <v>0</v>
      </c>
      <c r="T76" s="155">
        <f t="shared" si="20"/>
        <v>0</v>
      </c>
      <c r="U76" s="212">
        <f t="shared" si="21"/>
        <v>28.025647454514264</v>
      </c>
      <c r="V76" s="212">
        <f t="shared" si="22"/>
        <v>28.024499999999996</v>
      </c>
      <c r="W76" s="13">
        <f t="shared" si="23"/>
        <v>0.63</v>
      </c>
      <c r="X76" s="13">
        <f t="shared" si="24"/>
        <v>0.63</v>
      </c>
      <c r="Y76" s="13">
        <f t="shared" si="25"/>
        <v>0.53</v>
      </c>
      <c r="Z76" s="13">
        <f t="shared" si="26"/>
        <v>0.53</v>
      </c>
      <c r="AB76" s="240">
        <f t="shared" si="12"/>
        <v>0.7142857142857143</v>
      </c>
    </row>
    <row r="77" spans="1:28" ht="12.75">
      <c r="A77" s="160">
        <v>35</v>
      </c>
      <c r="B77" s="146" t="s">
        <v>30</v>
      </c>
      <c r="C77" s="161" t="s">
        <v>2</v>
      </c>
      <c r="D77" s="161">
        <f t="shared" si="27"/>
        <v>1764000</v>
      </c>
      <c r="E77" s="148">
        <f t="shared" si="18"/>
        <v>1.764</v>
      </c>
      <c r="F77" s="149">
        <v>20.1</v>
      </c>
      <c r="G77" s="150">
        <v>185.76</v>
      </c>
      <c r="H77" s="163">
        <v>175</v>
      </c>
      <c r="I77" s="163">
        <v>268</v>
      </c>
      <c r="J77" s="166">
        <v>29</v>
      </c>
      <c r="K77" s="166">
        <v>33.3</v>
      </c>
      <c r="L77" s="402">
        <f>VLOOKUP($A77,'Master Data'!$A$3:$AP$151,42,1)</f>
        <v>200</v>
      </c>
      <c r="M77" s="403">
        <f>VLOOKUP($A77,'Master Data'!$A$3:$AP$151,41,1)</f>
        <v>29.683733965392896</v>
      </c>
      <c r="N77" s="166">
        <v>0.76</v>
      </c>
      <c r="O77" s="166">
        <v>0.67</v>
      </c>
      <c r="P77" s="301">
        <v>2</v>
      </c>
      <c r="Q77" s="301">
        <v>1</v>
      </c>
      <c r="R77" s="154">
        <f>IF(E77&lt;1.1,'Proposed Spec Lines'!D$3+'Proposed Spec Lines'!D$4*'Spec Analysis_ScreenSize'!E77+'Proposed Spec Lines'!D$5*'Spec Analysis_ScreenSize'!G77,'Proposed Spec Lines'!C$3+'Proposed Spec Lines'!C$4*'Spec Analysis_ScreenSize'!E77+'Proposed Spec Lines'!C$5*'Spec Analysis_ScreenSize'!G77)</f>
        <v>28.163999999999998</v>
      </c>
      <c r="S77" s="155">
        <f t="shared" si="19"/>
        <v>0</v>
      </c>
      <c r="T77" s="155">
        <f t="shared" si="20"/>
        <v>0</v>
      </c>
      <c r="U77" s="212">
        <f t="shared" si="21"/>
        <v>29.683733965392896</v>
      </c>
      <c r="V77" s="212">
        <f t="shared" si="22"/>
        <v>28.163999999999998</v>
      </c>
      <c r="W77" s="13">
        <f t="shared" si="23"/>
        <v>0.76</v>
      </c>
      <c r="X77" s="13">
        <f t="shared" si="24"/>
        <v>0.76</v>
      </c>
      <c r="Y77" s="13">
        <f t="shared" si="25"/>
        <v>0.67</v>
      </c>
      <c r="Z77" s="13">
        <f t="shared" si="26"/>
        <v>0.67</v>
      </c>
      <c r="AB77" s="240">
        <f t="shared" si="12"/>
        <v>0.746268656716418</v>
      </c>
    </row>
    <row r="78" spans="1:28" ht="12.75">
      <c r="A78" s="146">
        <v>40</v>
      </c>
      <c r="B78" s="146" t="s">
        <v>30</v>
      </c>
      <c r="C78" s="167" t="s">
        <v>2</v>
      </c>
      <c r="D78" s="167">
        <f t="shared" si="27"/>
        <v>1764000</v>
      </c>
      <c r="E78" s="148">
        <f t="shared" si="18"/>
        <v>1.764</v>
      </c>
      <c r="F78" s="149">
        <v>20.1</v>
      </c>
      <c r="G78" s="150">
        <v>181.39</v>
      </c>
      <c r="H78" s="168">
        <v>175</v>
      </c>
      <c r="I78" s="168">
        <v>300</v>
      </c>
      <c r="J78" s="169">
        <v>24.8</v>
      </c>
      <c r="K78" s="169">
        <v>34.9</v>
      </c>
      <c r="L78" s="402">
        <f>VLOOKUP($A78,'Master Data'!$A$3:$AP$151,42,1)</f>
        <v>200</v>
      </c>
      <c r="M78" s="403">
        <f>VLOOKUP($A78,'Master Data'!$A$3:$AP$151,41,1)</f>
        <v>27.253608595441534</v>
      </c>
      <c r="N78" s="169">
        <v>0.71</v>
      </c>
      <c r="O78" s="169">
        <v>0.6</v>
      </c>
      <c r="P78" s="301">
        <v>2</v>
      </c>
      <c r="Q78" s="301">
        <v>1</v>
      </c>
      <c r="R78" s="154">
        <f>IF(E78&lt;1.1,'Proposed Spec Lines'!D$3+'Proposed Spec Lines'!D$4*'Spec Analysis_ScreenSize'!E78+'Proposed Spec Lines'!D$5*'Spec Analysis_ScreenSize'!G78,'Proposed Spec Lines'!C$3+'Proposed Spec Lines'!C$4*'Spec Analysis_ScreenSize'!E78+'Proposed Spec Lines'!C$5*'Spec Analysis_ScreenSize'!G78)</f>
        <v>27.945499999999996</v>
      </c>
      <c r="S78" s="155">
        <f t="shared" si="19"/>
        <v>1</v>
      </c>
      <c r="T78" s="155">
        <f t="shared" si="20"/>
        <v>1</v>
      </c>
      <c r="U78" s="212">
        <f t="shared" si="21"/>
        <v>27.253608595441534</v>
      </c>
      <c r="V78" s="212">
        <f t="shared" si="22"/>
        <v>27.253608595441534</v>
      </c>
      <c r="W78" s="13">
        <f t="shared" si="23"/>
        <v>0.71</v>
      </c>
      <c r="X78" s="13">
        <f t="shared" si="24"/>
        <v>0.71</v>
      </c>
      <c r="Y78" s="13">
        <f t="shared" si="25"/>
        <v>0.6</v>
      </c>
      <c r="Z78" s="13">
        <f t="shared" si="26"/>
        <v>0.6</v>
      </c>
      <c r="AB78" s="240">
        <f t="shared" si="12"/>
        <v>0.6666666666666666</v>
      </c>
    </row>
    <row r="79" spans="1:28" ht="12.75">
      <c r="A79" s="146">
        <v>46</v>
      </c>
      <c r="B79" s="146" t="s">
        <v>30</v>
      </c>
      <c r="C79" s="167" t="s">
        <v>2</v>
      </c>
      <c r="D79" s="167">
        <f t="shared" si="27"/>
        <v>1764000</v>
      </c>
      <c r="E79" s="148">
        <f t="shared" si="18"/>
        <v>1.764</v>
      </c>
      <c r="F79" s="149">
        <v>20.1</v>
      </c>
      <c r="G79" s="150">
        <v>181.39</v>
      </c>
      <c r="H79" s="168">
        <v>175</v>
      </c>
      <c r="I79" s="168">
        <v>301</v>
      </c>
      <c r="J79" s="169">
        <v>24.6</v>
      </c>
      <c r="K79" s="169">
        <v>34.9</v>
      </c>
      <c r="L79" s="402">
        <f>VLOOKUP($A79,'Master Data'!$A$3:$AP$151,42,1)</f>
        <v>200</v>
      </c>
      <c r="M79" s="403">
        <f>VLOOKUP($A79,'Master Data'!$A$3:$AP$151,41,1)</f>
        <v>27.12635775304168</v>
      </c>
      <c r="N79" s="169">
        <v>0.71</v>
      </c>
      <c r="O79" s="169">
        <v>0.59</v>
      </c>
      <c r="P79" s="301">
        <v>2</v>
      </c>
      <c r="Q79" s="301">
        <v>1</v>
      </c>
      <c r="R79" s="154">
        <f>IF(E79&lt;1.1,'Proposed Spec Lines'!D$3+'Proposed Spec Lines'!D$4*'Spec Analysis_ScreenSize'!E79+'Proposed Spec Lines'!D$5*'Spec Analysis_ScreenSize'!G79,'Proposed Spec Lines'!C$3+'Proposed Spec Lines'!C$4*'Spec Analysis_ScreenSize'!E79+'Proposed Spec Lines'!C$5*'Spec Analysis_ScreenSize'!G79)</f>
        <v>27.945499999999996</v>
      </c>
      <c r="S79" s="155">
        <f t="shared" si="19"/>
        <v>1</v>
      </c>
      <c r="T79" s="155">
        <f t="shared" si="20"/>
        <v>1</v>
      </c>
      <c r="U79" s="212">
        <f t="shared" si="21"/>
        <v>27.12635775304168</v>
      </c>
      <c r="V79" s="212">
        <f t="shared" si="22"/>
        <v>27.12635775304168</v>
      </c>
      <c r="W79" s="13">
        <f t="shared" si="23"/>
        <v>0.71</v>
      </c>
      <c r="X79" s="13">
        <f t="shared" si="24"/>
        <v>0.71</v>
      </c>
      <c r="Y79" s="13">
        <f t="shared" si="25"/>
        <v>0.59</v>
      </c>
      <c r="Z79" s="13">
        <f t="shared" si="26"/>
        <v>0.59</v>
      </c>
      <c r="AB79" s="240">
        <f t="shared" si="12"/>
        <v>0.6644518272425249</v>
      </c>
    </row>
    <row r="80" spans="1:28" ht="12.75">
      <c r="A80" s="156">
        <v>120</v>
      </c>
      <c r="B80" s="146" t="s">
        <v>30</v>
      </c>
      <c r="C80" s="167" t="s">
        <v>10</v>
      </c>
      <c r="D80" s="167">
        <f t="shared" si="27"/>
        <v>1764000</v>
      </c>
      <c r="E80" s="148">
        <f t="shared" si="18"/>
        <v>1.764</v>
      </c>
      <c r="F80" s="149">
        <v>20.1</v>
      </c>
      <c r="G80" s="150">
        <v>181.9996527993056</v>
      </c>
      <c r="H80" s="168">
        <v>175</v>
      </c>
      <c r="I80" s="168">
        <v>221</v>
      </c>
      <c r="J80" s="169">
        <v>26.6</v>
      </c>
      <c r="K80" s="169">
        <v>34.1</v>
      </c>
      <c r="L80" s="402">
        <f>VLOOKUP($A80,'Master Data'!$A$3:$AP$151,42,1)</f>
        <v>200</v>
      </c>
      <c r="M80" s="403">
        <f>VLOOKUP($A80,'Master Data'!$A$3:$AP$151,41,1)</f>
        <v>30.321305108719105</v>
      </c>
      <c r="N80" s="169">
        <v>0.33</v>
      </c>
      <c r="O80" s="169">
        <v>0.32</v>
      </c>
      <c r="P80" s="301">
        <v>2</v>
      </c>
      <c r="Q80" s="301">
        <v>1</v>
      </c>
      <c r="R80" s="154">
        <f>IF(E80&lt;1.1,'Proposed Spec Lines'!D$3+'Proposed Spec Lines'!D$4*'Spec Analysis_ScreenSize'!E80+'Proposed Spec Lines'!D$5*'Spec Analysis_ScreenSize'!G80,'Proposed Spec Lines'!C$3+'Proposed Spec Lines'!C$4*'Spec Analysis_ScreenSize'!E80+'Proposed Spec Lines'!C$5*'Spec Analysis_ScreenSize'!G80)</f>
        <v>27.97598263996528</v>
      </c>
      <c r="S80" s="155">
        <f t="shared" si="19"/>
        <v>0</v>
      </c>
      <c r="T80" s="155">
        <f t="shared" si="20"/>
        <v>0</v>
      </c>
      <c r="U80" s="212">
        <f t="shared" si="21"/>
        <v>30.321305108719105</v>
      </c>
      <c r="V80" s="212">
        <f t="shared" si="22"/>
        <v>27.97598263996528</v>
      </c>
      <c r="W80" s="13">
        <f t="shared" si="23"/>
        <v>0.33</v>
      </c>
      <c r="X80" s="13">
        <f t="shared" si="24"/>
        <v>0.33</v>
      </c>
      <c r="Y80" s="13">
        <f t="shared" si="25"/>
        <v>0.32</v>
      </c>
      <c r="Z80" s="13">
        <f t="shared" si="26"/>
        <v>0.32</v>
      </c>
      <c r="AB80" s="240">
        <f t="shared" si="12"/>
        <v>0.9049773755656109</v>
      </c>
    </row>
    <row r="81" spans="1:28" ht="12.75">
      <c r="A81" s="160">
        <v>135</v>
      </c>
      <c r="B81" s="146" t="s">
        <v>30</v>
      </c>
      <c r="C81" s="161" t="s">
        <v>10</v>
      </c>
      <c r="D81" s="161">
        <f t="shared" si="27"/>
        <v>1764000</v>
      </c>
      <c r="E81" s="148">
        <f t="shared" si="18"/>
        <v>1.764</v>
      </c>
      <c r="F81" s="149">
        <v>20.1</v>
      </c>
      <c r="G81" s="150">
        <v>181.9996527993056</v>
      </c>
      <c r="H81" s="163">
        <v>175</v>
      </c>
      <c r="I81" s="163">
        <v>221</v>
      </c>
      <c r="J81" s="166">
        <v>26.6</v>
      </c>
      <c r="K81" s="166">
        <v>34.1</v>
      </c>
      <c r="L81" s="402">
        <f>VLOOKUP($A81,'Master Data'!$A$3:$AP$151,42,1)</f>
        <v>170</v>
      </c>
      <c r="M81" s="403">
        <f>VLOOKUP($A81,'Master Data'!$A$3:$AP$151,41,1)</f>
        <v>28.251789290309176</v>
      </c>
      <c r="N81" s="166">
        <v>0.33</v>
      </c>
      <c r="O81" s="166">
        <v>0.32</v>
      </c>
      <c r="P81" s="301">
        <v>2</v>
      </c>
      <c r="Q81" s="301">
        <v>1</v>
      </c>
      <c r="R81" s="154">
        <f>IF(E81&lt;1.1,'Proposed Spec Lines'!D$3+'Proposed Spec Lines'!D$4*'Spec Analysis_ScreenSize'!E81+'Proposed Spec Lines'!D$5*'Spec Analysis_ScreenSize'!G81,'Proposed Spec Lines'!C$3+'Proposed Spec Lines'!C$4*'Spec Analysis_ScreenSize'!E81+'Proposed Spec Lines'!C$5*'Spec Analysis_ScreenSize'!G81)</f>
        <v>27.97598263996528</v>
      </c>
      <c r="S81" s="155">
        <f t="shared" si="19"/>
        <v>0</v>
      </c>
      <c r="T81" s="155">
        <f t="shared" si="20"/>
        <v>0</v>
      </c>
      <c r="U81" s="212">
        <f t="shared" si="21"/>
        <v>28.251789290309176</v>
      </c>
      <c r="V81" s="212">
        <f t="shared" si="22"/>
        <v>27.97598263996528</v>
      </c>
      <c r="W81" s="13">
        <f t="shared" si="23"/>
        <v>0.33</v>
      </c>
      <c r="X81" s="13">
        <f t="shared" si="24"/>
        <v>0.33</v>
      </c>
      <c r="Y81" s="13">
        <f t="shared" si="25"/>
        <v>0.32</v>
      </c>
      <c r="Z81" s="13">
        <f t="shared" si="26"/>
        <v>0.32</v>
      </c>
      <c r="AB81" s="240">
        <f t="shared" si="12"/>
        <v>0.9049773755656109</v>
      </c>
    </row>
    <row r="82" spans="1:28" ht="12.75">
      <c r="A82" s="160">
        <v>67</v>
      </c>
      <c r="B82" s="146" t="s">
        <v>30</v>
      </c>
      <c r="C82" s="170" t="s">
        <v>2</v>
      </c>
      <c r="D82" s="170">
        <f t="shared" si="27"/>
        <v>1764000</v>
      </c>
      <c r="E82" s="148">
        <f t="shared" si="18"/>
        <v>1.764</v>
      </c>
      <c r="F82" s="149">
        <v>20.12335030452074</v>
      </c>
      <c r="G82" s="150">
        <v>214.6226613186878</v>
      </c>
      <c r="H82" s="171">
        <v>175.2</v>
      </c>
      <c r="I82" s="171">
        <v>208.9</v>
      </c>
      <c r="J82" s="172">
        <v>28.97</v>
      </c>
      <c r="K82" s="172">
        <v>32.08</v>
      </c>
      <c r="L82" s="402">
        <f>VLOOKUP($A82,'Master Data'!$A$3:$AP$151,42,1)</f>
        <v>200</v>
      </c>
      <c r="M82" s="403">
        <f>VLOOKUP($A82,'Master Data'!$A$3:$AP$151,41,1)</f>
        <v>31.445078474813574</v>
      </c>
      <c r="N82" s="172">
        <v>0.852</v>
      </c>
      <c r="O82" s="172">
        <v>0.645</v>
      </c>
      <c r="P82" s="301">
        <v>2</v>
      </c>
      <c r="Q82" s="301">
        <v>1</v>
      </c>
      <c r="R82" s="154">
        <f>IF(E82&lt;1.1,'Proposed Spec Lines'!D$3+'Proposed Spec Lines'!D$4*'Spec Analysis_ScreenSize'!E82+'Proposed Spec Lines'!D$5*'Spec Analysis_ScreenSize'!G82,'Proposed Spec Lines'!C$3+'Proposed Spec Lines'!C$4*'Spec Analysis_ScreenSize'!E82+'Proposed Spec Lines'!C$5*'Spec Analysis_ScreenSize'!G82)</f>
        <v>29.607133065934388</v>
      </c>
      <c r="S82" s="155">
        <f t="shared" si="19"/>
        <v>0</v>
      </c>
      <c r="T82" s="155">
        <f t="shared" si="20"/>
        <v>0</v>
      </c>
      <c r="U82" s="212">
        <f t="shared" si="21"/>
        <v>31.445078474813574</v>
      </c>
      <c r="V82" s="212">
        <f t="shared" si="22"/>
        <v>29.607133065934388</v>
      </c>
      <c r="W82" s="13">
        <f t="shared" si="23"/>
        <v>0.852</v>
      </c>
      <c r="X82" s="13">
        <f t="shared" si="24"/>
        <v>0.852</v>
      </c>
      <c r="Y82" s="13">
        <f t="shared" si="25"/>
        <v>0.645</v>
      </c>
      <c r="Z82" s="13">
        <f t="shared" si="26"/>
        <v>0.645</v>
      </c>
      <c r="AB82" s="240">
        <f t="shared" si="12"/>
        <v>0.9573958831977022</v>
      </c>
    </row>
    <row r="83" spans="1:28" ht="12.75">
      <c r="A83" s="173">
        <v>73</v>
      </c>
      <c r="B83" s="173" t="s">
        <v>30</v>
      </c>
      <c r="C83" s="174" t="s">
        <v>2</v>
      </c>
      <c r="D83" s="174">
        <f t="shared" si="27"/>
        <v>1764000</v>
      </c>
      <c r="E83" s="175">
        <f t="shared" si="18"/>
        <v>1.764</v>
      </c>
      <c r="F83" s="176">
        <v>21.99528986773197</v>
      </c>
      <c r="G83" s="37">
        <v>256.4096586549384</v>
      </c>
      <c r="H83" s="177">
        <v>174.8</v>
      </c>
      <c r="I83" s="177">
        <v>226.4</v>
      </c>
      <c r="J83" s="178">
        <v>31.66</v>
      </c>
      <c r="K83" s="178">
        <v>37.08</v>
      </c>
      <c r="L83" s="404">
        <f>VLOOKUP($A83,'Master Data'!$A$3:$AP$151,42,1)</f>
        <v>200</v>
      </c>
      <c r="M83" s="405">
        <f>VLOOKUP($A83,'Master Data'!$A$3:$AP$151,41,1)</f>
        <v>34.217554451280755</v>
      </c>
      <c r="N83" s="178">
        <v>0.837</v>
      </c>
      <c r="O83" s="178">
        <v>0.636</v>
      </c>
      <c r="P83" s="303">
        <v>2</v>
      </c>
      <c r="Q83" s="303">
        <v>1</v>
      </c>
      <c r="R83" s="179">
        <f>IF(E83&lt;1.1,'Proposed Spec Lines'!D$3+'Proposed Spec Lines'!D$4*'Spec Analysis_ScreenSize'!E83+'Proposed Spec Lines'!D$5*'Spec Analysis_ScreenSize'!G83,'Proposed Spec Lines'!C$3+'Proposed Spec Lines'!C$4*'Spec Analysis_ScreenSize'!E83+'Proposed Spec Lines'!C$5*'Spec Analysis_ScreenSize'!G83)</f>
        <v>31.696482932746918</v>
      </c>
      <c r="S83" s="180">
        <f t="shared" si="19"/>
        <v>0</v>
      </c>
      <c r="T83" s="180">
        <f t="shared" si="20"/>
        <v>0</v>
      </c>
      <c r="U83" s="212">
        <f t="shared" si="21"/>
        <v>34.217554451280755</v>
      </c>
      <c r="V83" s="212">
        <f t="shared" si="22"/>
        <v>31.696482932746918</v>
      </c>
      <c r="W83" s="13">
        <f t="shared" si="23"/>
        <v>0.837</v>
      </c>
      <c r="X83" s="13">
        <f t="shared" si="24"/>
        <v>0.837</v>
      </c>
      <c r="Y83" s="13">
        <f t="shared" si="25"/>
        <v>0.636</v>
      </c>
      <c r="Z83" s="13">
        <f t="shared" si="26"/>
        <v>0.636</v>
      </c>
      <c r="AB83" s="240">
        <f t="shared" si="12"/>
        <v>0.8833922261484098</v>
      </c>
    </row>
    <row r="84" spans="1:28" ht="12.75">
      <c r="A84" s="181">
        <v>2</v>
      </c>
      <c r="B84" s="173" t="s">
        <v>30</v>
      </c>
      <c r="C84" s="182" t="s">
        <v>2</v>
      </c>
      <c r="D84" s="182">
        <f t="shared" si="27"/>
        <v>1764000</v>
      </c>
      <c r="E84" s="175">
        <f t="shared" si="18"/>
        <v>1.764</v>
      </c>
      <c r="F84" s="176">
        <v>22</v>
      </c>
      <c r="G84" s="37">
        <v>217.2725</v>
      </c>
      <c r="H84" s="183">
        <v>175</v>
      </c>
      <c r="I84" s="183">
        <v>280</v>
      </c>
      <c r="J84" s="184">
        <v>32.99</v>
      </c>
      <c r="K84" s="184">
        <v>43.14</v>
      </c>
      <c r="L84" s="404">
        <f>VLOOKUP($A84,'Master Data'!$A$3:$AP$151,42,1)</f>
        <v>200</v>
      </c>
      <c r="M84" s="405">
        <f>VLOOKUP($A84,'Master Data'!$A$3:$AP$151,41,1)</f>
        <v>35.394944960954014</v>
      </c>
      <c r="N84" s="184">
        <v>1.03</v>
      </c>
      <c r="O84" s="184">
        <v>0.77</v>
      </c>
      <c r="P84" s="303">
        <v>2</v>
      </c>
      <c r="Q84" s="303">
        <v>1</v>
      </c>
      <c r="R84" s="179">
        <f>IF(E84&lt;1.1,'Proposed Spec Lines'!D$3+'Proposed Spec Lines'!D$4*'Spec Analysis_ScreenSize'!E84+'Proposed Spec Lines'!D$5*'Spec Analysis_ScreenSize'!G84,'Proposed Spec Lines'!C$3+'Proposed Spec Lines'!C$4*'Spec Analysis_ScreenSize'!E84+'Proposed Spec Lines'!C$5*'Spec Analysis_ScreenSize'!G84)</f>
        <v>29.739624999999997</v>
      </c>
      <c r="S84" s="180">
        <f t="shared" si="19"/>
        <v>0</v>
      </c>
      <c r="T84" s="180">
        <f t="shared" si="20"/>
        <v>0</v>
      </c>
      <c r="U84" s="212">
        <f t="shared" si="21"/>
        <v>35.394944960954014</v>
      </c>
      <c r="V84" s="212">
        <f t="shared" si="22"/>
        <v>29.739624999999997</v>
      </c>
      <c r="W84" s="13">
        <f t="shared" si="23"/>
        <v>1.03</v>
      </c>
      <c r="X84" s="13">
        <f t="shared" si="24"/>
        <v>1.03</v>
      </c>
      <c r="Y84" s="13">
        <f t="shared" si="25"/>
        <v>0.77</v>
      </c>
      <c r="Z84" s="13">
        <f t="shared" si="26"/>
        <v>0.77</v>
      </c>
      <c r="AB84" s="240">
        <f t="shared" si="12"/>
        <v>0.7142857142857143</v>
      </c>
    </row>
    <row r="85" spans="1:28" ht="12.75">
      <c r="A85" s="185">
        <v>3</v>
      </c>
      <c r="B85" s="173" t="s">
        <v>30</v>
      </c>
      <c r="C85" s="186" t="s">
        <v>2</v>
      </c>
      <c r="D85" s="186">
        <f t="shared" si="27"/>
        <v>1764000</v>
      </c>
      <c r="E85" s="175">
        <f t="shared" si="18"/>
        <v>1.764</v>
      </c>
      <c r="F85" s="176">
        <v>22</v>
      </c>
      <c r="G85" s="37">
        <v>228</v>
      </c>
      <c r="H85" s="187">
        <v>174</v>
      </c>
      <c r="I85" s="187">
        <v>189</v>
      </c>
      <c r="J85" s="188">
        <v>39.2</v>
      </c>
      <c r="K85" s="188">
        <v>39.2</v>
      </c>
      <c r="L85" s="404">
        <f>VLOOKUP($A85,'Master Data'!$A$3:$AP$151,42,1)</f>
        <v>160.228</v>
      </c>
      <c r="M85" s="405">
        <f>VLOOKUP($A85,'Master Data'!$A$3:$AP$151,41,1)</f>
        <v>39.380021143252065</v>
      </c>
      <c r="N85" s="188">
        <v>0.9</v>
      </c>
      <c r="O85" s="188">
        <v>0.74</v>
      </c>
      <c r="P85" s="303">
        <v>2</v>
      </c>
      <c r="Q85" s="303">
        <v>1</v>
      </c>
      <c r="R85" s="179">
        <f>IF(E85&lt;1.1,'Proposed Spec Lines'!D$3+'Proposed Spec Lines'!D$4*'Spec Analysis_ScreenSize'!E85+'Proposed Spec Lines'!D$5*'Spec Analysis_ScreenSize'!G85,'Proposed Spec Lines'!C$3+'Proposed Spec Lines'!C$4*'Spec Analysis_ScreenSize'!E85+'Proposed Spec Lines'!C$5*'Spec Analysis_ScreenSize'!G85)</f>
        <v>30.275999999999996</v>
      </c>
      <c r="S85" s="180">
        <f t="shared" si="19"/>
        <v>0</v>
      </c>
      <c r="T85" s="180">
        <f t="shared" si="20"/>
        <v>0</v>
      </c>
      <c r="U85" s="212">
        <f t="shared" si="21"/>
        <v>39.380021143252065</v>
      </c>
      <c r="V85" s="212">
        <f t="shared" si="22"/>
        <v>30.275999999999996</v>
      </c>
      <c r="W85" s="13">
        <f t="shared" si="23"/>
        <v>0.9</v>
      </c>
      <c r="X85" s="13">
        <f t="shared" si="24"/>
        <v>0.9</v>
      </c>
      <c r="Y85" s="13">
        <f t="shared" si="25"/>
        <v>0.74</v>
      </c>
      <c r="Z85" s="13">
        <f t="shared" si="26"/>
        <v>0.74</v>
      </c>
      <c r="AB85" s="240">
        <f t="shared" si="12"/>
        <v>1.0582010582010581</v>
      </c>
    </row>
    <row r="86" spans="1:28" ht="12.75">
      <c r="A86" s="173">
        <v>10</v>
      </c>
      <c r="B86" s="173" t="s">
        <v>30</v>
      </c>
      <c r="C86" s="186" t="s">
        <v>2</v>
      </c>
      <c r="D86" s="186">
        <f t="shared" si="27"/>
        <v>1764000</v>
      </c>
      <c r="E86" s="175">
        <f t="shared" si="18"/>
        <v>1.764</v>
      </c>
      <c r="F86" s="176">
        <v>22</v>
      </c>
      <c r="G86" s="37">
        <v>228</v>
      </c>
      <c r="H86" s="187">
        <v>176</v>
      </c>
      <c r="I86" s="187">
        <v>180</v>
      </c>
      <c r="J86" s="188">
        <v>41.536</v>
      </c>
      <c r="K86" s="188">
        <v>41.67</v>
      </c>
      <c r="L86" s="404">
        <f>VLOOKUP($A86,'Master Data'!$A$3:$AP$151,42,1)</f>
        <v>160.228</v>
      </c>
      <c r="M86" s="405">
        <f>VLOOKUP($A86,'Master Data'!$A$3:$AP$151,41,1)</f>
        <v>41.910033987930575</v>
      </c>
      <c r="N86" s="188">
        <v>0.9</v>
      </c>
      <c r="O86" s="188">
        <v>0.74</v>
      </c>
      <c r="P86" s="303">
        <v>2</v>
      </c>
      <c r="Q86" s="303">
        <v>1</v>
      </c>
      <c r="R86" s="179">
        <f>IF(E86&lt;1.1,'Proposed Spec Lines'!D$3+'Proposed Spec Lines'!D$4*'Spec Analysis_ScreenSize'!E86+'Proposed Spec Lines'!D$5*'Spec Analysis_ScreenSize'!G86,'Proposed Spec Lines'!C$3+'Proposed Spec Lines'!C$4*'Spec Analysis_ScreenSize'!E86+'Proposed Spec Lines'!C$5*'Spec Analysis_ScreenSize'!G86)</f>
        <v>30.275999999999996</v>
      </c>
      <c r="S86" s="180">
        <f t="shared" si="19"/>
        <v>0</v>
      </c>
      <c r="T86" s="180">
        <f t="shared" si="20"/>
        <v>0</v>
      </c>
      <c r="U86" s="212">
        <f t="shared" si="21"/>
        <v>41.910033987930575</v>
      </c>
      <c r="V86" s="212">
        <f t="shared" si="22"/>
        <v>30.275999999999996</v>
      </c>
      <c r="W86" s="13">
        <f t="shared" si="23"/>
        <v>0.9</v>
      </c>
      <c r="X86" s="13">
        <f t="shared" si="24"/>
        <v>0.9</v>
      </c>
      <c r="Y86" s="13">
        <f t="shared" si="25"/>
        <v>0.74</v>
      </c>
      <c r="Z86" s="13">
        <f t="shared" si="26"/>
        <v>0.74</v>
      </c>
      <c r="AB86" s="240">
        <f t="shared" si="12"/>
        <v>1.1111111111111112</v>
      </c>
    </row>
    <row r="87" spans="1:28" ht="12.75">
      <c r="A87" s="185">
        <v>19</v>
      </c>
      <c r="B87" s="173" t="s">
        <v>30</v>
      </c>
      <c r="C87" s="189" t="s">
        <v>2</v>
      </c>
      <c r="D87" s="189">
        <f t="shared" si="27"/>
        <v>1764000</v>
      </c>
      <c r="E87" s="175">
        <f t="shared" si="18"/>
        <v>1.764</v>
      </c>
      <c r="F87" s="176">
        <v>22</v>
      </c>
      <c r="G87" s="37">
        <v>217.7622</v>
      </c>
      <c r="H87" s="187">
        <v>175</v>
      </c>
      <c r="I87" s="187">
        <v>504.1</v>
      </c>
      <c r="J87" s="188">
        <v>34.52</v>
      </c>
      <c r="K87" s="188">
        <v>66.5</v>
      </c>
      <c r="L87" s="404">
        <f>VLOOKUP($A87,'Master Data'!$A$3:$AP$151,42,1)</f>
        <v>180.226</v>
      </c>
      <c r="M87" s="405">
        <f>VLOOKUP($A87,'Master Data'!$A$3:$AP$151,41,1)</f>
        <v>34.29314130433882</v>
      </c>
      <c r="N87" s="188">
        <v>1.51</v>
      </c>
      <c r="O87" s="188">
        <v>0.78</v>
      </c>
      <c r="P87" s="303">
        <v>2</v>
      </c>
      <c r="Q87" s="303">
        <v>1</v>
      </c>
      <c r="R87" s="179">
        <f>IF(E87&lt;1.1,'Proposed Spec Lines'!D$3+'Proposed Spec Lines'!D$4*'Spec Analysis_ScreenSize'!E87+'Proposed Spec Lines'!D$5*'Spec Analysis_ScreenSize'!G87,'Proposed Spec Lines'!C$3+'Proposed Spec Lines'!C$4*'Spec Analysis_ScreenSize'!E87+'Proposed Spec Lines'!C$5*'Spec Analysis_ScreenSize'!G87)</f>
        <v>29.76411</v>
      </c>
      <c r="S87" s="180">
        <f t="shared" si="19"/>
        <v>0</v>
      </c>
      <c r="T87" s="180">
        <f t="shared" si="20"/>
        <v>0</v>
      </c>
      <c r="U87" s="212">
        <f t="shared" si="21"/>
        <v>34.29314130433882</v>
      </c>
      <c r="V87" s="212">
        <f t="shared" si="22"/>
        <v>29.76411</v>
      </c>
      <c r="W87" s="13">
        <f t="shared" si="23"/>
        <v>1.51</v>
      </c>
      <c r="X87" s="13">
        <f t="shared" si="24"/>
        <v>1.51</v>
      </c>
      <c r="Y87" s="13">
        <f t="shared" si="25"/>
        <v>0.78</v>
      </c>
      <c r="Z87" s="13">
        <f t="shared" si="26"/>
        <v>0.78</v>
      </c>
      <c r="AB87" s="240">
        <f t="shared" si="12"/>
        <v>0.39674667724657803</v>
      </c>
    </row>
    <row r="88" spans="1:28" ht="12.75">
      <c r="A88" s="181">
        <v>22</v>
      </c>
      <c r="B88" s="173" t="s">
        <v>30</v>
      </c>
      <c r="C88" s="190" t="s">
        <v>2</v>
      </c>
      <c r="D88" s="190">
        <f t="shared" si="27"/>
        <v>1764000</v>
      </c>
      <c r="E88" s="175">
        <f t="shared" si="18"/>
        <v>1.764</v>
      </c>
      <c r="F88" s="176">
        <v>22</v>
      </c>
      <c r="G88" s="37">
        <v>217.52808988764048</v>
      </c>
      <c r="H88" s="191">
        <v>186</v>
      </c>
      <c r="I88" s="191"/>
      <c r="J88" s="192">
        <v>28.3</v>
      </c>
      <c r="K88" s="193"/>
      <c r="L88" s="404">
        <f>VLOOKUP($A88,'Master Data'!$A$3:$AP$151,42,1)</f>
        <v>200</v>
      </c>
      <c r="M88" s="405">
        <f>VLOOKUP($A88,'Master Data'!$A$3:$AP$151,41,1)</f>
        <v>29.690044128726722</v>
      </c>
      <c r="N88" s="192">
        <v>0.59</v>
      </c>
      <c r="O88" s="192">
        <v>0.51</v>
      </c>
      <c r="P88" s="303">
        <v>2</v>
      </c>
      <c r="Q88" s="303">
        <v>1</v>
      </c>
      <c r="R88" s="179">
        <f>IF(E88&lt;1.1,'Proposed Spec Lines'!D$3+'Proposed Spec Lines'!D$4*'Spec Analysis_ScreenSize'!E88+'Proposed Spec Lines'!D$5*'Spec Analysis_ScreenSize'!G88,'Proposed Spec Lines'!C$3+'Proposed Spec Lines'!C$4*'Spec Analysis_ScreenSize'!E88+'Proposed Spec Lines'!C$5*'Spec Analysis_ScreenSize'!G88)</f>
        <v>29.75240449438202</v>
      </c>
      <c r="S88" s="180">
        <f t="shared" si="19"/>
        <v>1</v>
      </c>
      <c r="T88" s="180">
        <f t="shared" si="20"/>
        <v>1</v>
      </c>
      <c r="U88" s="212">
        <f t="shared" si="21"/>
        <v>29.690044128726722</v>
      </c>
      <c r="V88" s="212">
        <f t="shared" si="22"/>
        <v>29.690044128726722</v>
      </c>
      <c r="W88" s="13">
        <f t="shared" si="23"/>
        <v>0.59</v>
      </c>
      <c r="X88" s="13">
        <f t="shared" si="24"/>
        <v>0.59</v>
      </c>
      <c r="Y88" s="13">
        <f t="shared" si="25"/>
        <v>0.51</v>
      </c>
      <c r="Z88" s="13">
        <f t="shared" si="26"/>
        <v>0.51</v>
      </c>
      <c r="AB88" s="240">
        <f>200/175</f>
        <v>1.1428571428571428</v>
      </c>
    </row>
    <row r="89" spans="1:28" ht="12.75">
      <c r="A89" s="185">
        <v>23</v>
      </c>
      <c r="B89" s="173" t="s">
        <v>30</v>
      </c>
      <c r="C89" s="190" t="s">
        <v>2</v>
      </c>
      <c r="D89" s="190">
        <f t="shared" si="27"/>
        <v>1764000</v>
      </c>
      <c r="E89" s="175">
        <f t="shared" si="18"/>
        <v>1.764</v>
      </c>
      <c r="F89" s="176">
        <v>22</v>
      </c>
      <c r="G89" s="37">
        <v>217.52808988764048</v>
      </c>
      <c r="H89" s="194">
        <v>184</v>
      </c>
      <c r="I89" s="194"/>
      <c r="J89" s="192">
        <v>28.5</v>
      </c>
      <c r="K89" s="193"/>
      <c r="L89" s="404">
        <f>VLOOKUP($A89,'Master Data'!$A$3:$AP$151,42,1)</f>
        <v>200</v>
      </c>
      <c r="M89" s="405">
        <f>VLOOKUP($A89,'Master Data'!$A$3:$AP$151,41,1)</f>
        <v>29.655328970729975</v>
      </c>
      <c r="N89" s="192">
        <v>0.84</v>
      </c>
      <c r="O89" s="192">
        <v>0.74</v>
      </c>
      <c r="P89" s="303">
        <v>2</v>
      </c>
      <c r="Q89" s="303">
        <v>1</v>
      </c>
      <c r="R89" s="179">
        <f>IF(E89&lt;1.1,'Proposed Spec Lines'!D$3+'Proposed Spec Lines'!D$4*'Spec Analysis_ScreenSize'!E89+'Proposed Spec Lines'!D$5*'Spec Analysis_ScreenSize'!G89,'Proposed Spec Lines'!C$3+'Proposed Spec Lines'!C$4*'Spec Analysis_ScreenSize'!E89+'Proposed Spec Lines'!C$5*'Spec Analysis_ScreenSize'!G89)</f>
        <v>29.75240449438202</v>
      </c>
      <c r="S89" s="180">
        <f t="shared" si="19"/>
        <v>1</v>
      </c>
      <c r="T89" s="180">
        <f t="shared" si="20"/>
        <v>1</v>
      </c>
      <c r="U89" s="212">
        <f t="shared" si="21"/>
        <v>29.655328970729975</v>
      </c>
      <c r="V89" s="212">
        <f t="shared" si="22"/>
        <v>29.655328970729975</v>
      </c>
      <c r="W89" s="13">
        <f t="shared" si="23"/>
        <v>0.84</v>
      </c>
      <c r="X89" s="13">
        <f t="shared" si="24"/>
        <v>0.84</v>
      </c>
      <c r="Y89" s="13">
        <f t="shared" si="25"/>
        <v>0.74</v>
      </c>
      <c r="Z89" s="13">
        <f t="shared" si="26"/>
        <v>0.74</v>
      </c>
      <c r="AB89" s="240">
        <f>200/175</f>
        <v>1.1428571428571428</v>
      </c>
    </row>
    <row r="90" spans="1:28" ht="12.75">
      <c r="A90" s="173">
        <v>36</v>
      </c>
      <c r="B90" s="173" t="s">
        <v>30</v>
      </c>
      <c r="C90" s="195" t="s">
        <v>2</v>
      </c>
      <c r="D90" s="195">
        <f t="shared" si="27"/>
        <v>1764000</v>
      </c>
      <c r="E90" s="175">
        <f t="shared" si="18"/>
        <v>1.764</v>
      </c>
      <c r="F90" s="176">
        <v>22</v>
      </c>
      <c r="G90" s="37">
        <v>220.66</v>
      </c>
      <c r="H90" s="196">
        <v>175</v>
      </c>
      <c r="I90" s="196">
        <v>279</v>
      </c>
      <c r="J90" s="197">
        <v>28</v>
      </c>
      <c r="K90" s="197">
        <v>36</v>
      </c>
      <c r="L90" s="404">
        <f>VLOOKUP($A90,'Master Data'!$A$3:$AP$151,42,1)</f>
        <v>200</v>
      </c>
      <c r="M90" s="405">
        <f>VLOOKUP($A90,'Master Data'!$A$3:$AP$151,41,1)</f>
        <v>29.89723756309553</v>
      </c>
      <c r="N90" s="197">
        <v>0.77</v>
      </c>
      <c r="O90" s="197">
        <v>0.67</v>
      </c>
      <c r="P90" s="303">
        <v>2</v>
      </c>
      <c r="Q90" s="303">
        <v>1</v>
      </c>
      <c r="R90" s="179">
        <f>IF(E90&lt;1.1,'Proposed Spec Lines'!D$3+'Proposed Spec Lines'!D$4*'Spec Analysis_ScreenSize'!E90+'Proposed Spec Lines'!D$5*'Spec Analysis_ScreenSize'!G90,'Proposed Spec Lines'!C$3+'Proposed Spec Lines'!C$4*'Spec Analysis_ScreenSize'!E90+'Proposed Spec Lines'!C$5*'Spec Analysis_ScreenSize'!G90)</f>
        <v>29.909</v>
      </c>
      <c r="S90" s="180">
        <f t="shared" si="19"/>
        <v>1</v>
      </c>
      <c r="T90" s="180">
        <f t="shared" si="20"/>
        <v>1</v>
      </c>
      <c r="U90" s="212">
        <f t="shared" si="21"/>
        <v>29.89723756309553</v>
      </c>
      <c r="V90" s="212">
        <f t="shared" si="22"/>
        <v>29.89723756309553</v>
      </c>
      <c r="W90" s="13">
        <f t="shared" si="23"/>
        <v>0.77</v>
      </c>
      <c r="X90" s="13">
        <f t="shared" si="24"/>
        <v>0.77</v>
      </c>
      <c r="Y90" s="13">
        <f t="shared" si="25"/>
        <v>0.67</v>
      </c>
      <c r="Z90" s="13">
        <f t="shared" si="26"/>
        <v>0.67</v>
      </c>
      <c r="AB90" s="240">
        <f aca="true" t="shared" si="28" ref="AB90:AB119">200/I90</f>
        <v>0.7168458781362007</v>
      </c>
    </row>
    <row r="91" spans="1:28" ht="12.75">
      <c r="A91" s="173">
        <v>37</v>
      </c>
      <c r="B91" s="173" t="s">
        <v>30</v>
      </c>
      <c r="C91" s="195" t="s">
        <v>2</v>
      </c>
      <c r="D91" s="195">
        <f t="shared" si="27"/>
        <v>1764000</v>
      </c>
      <c r="E91" s="175">
        <f t="shared" si="18"/>
        <v>1.764</v>
      </c>
      <c r="F91" s="176">
        <v>22</v>
      </c>
      <c r="G91" s="37">
        <v>218.79</v>
      </c>
      <c r="H91" s="196">
        <v>175</v>
      </c>
      <c r="I91" s="196">
        <v>208</v>
      </c>
      <c r="J91" s="197">
        <v>32</v>
      </c>
      <c r="K91" s="197">
        <v>38</v>
      </c>
      <c r="L91" s="404">
        <f>VLOOKUP($A91,'Master Data'!$A$3:$AP$151,42,1)</f>
        <v>200</v>
      </c>
      <c r="M91" s="405">
        <f>VLOOKUP($A91,'Master Data'!$A$3:$AP$151,41,1)</f>
        <v>34.25661917532718</v>
      </c>
      <c r="N91" s="197">
        <v>0.71</v>
      </c>
      <c r="O91" s="197">
        <v>0.62</v>
      </c>
      <c r="P91" s="303">
        <v>2</v>
      </c>
      <c r="Q91" s="303">
        <v>1</v>
      </c>
      <c r="R91" s="179">
        <f>IF(E91&lt;1.1,'Proposed Spec Lines'!D$3+'Proposed Spec Lines'!D$4*'Spec Analysis_ScreenSize'!E91+'Proposed Spec Lines'!D$5*'Spec Analysis_ScreenSize'!G91,'Proposed Spec Lines'!C$3+'Proposed Spec Lines'!C$4*'Spec Analysis_ScreenSize'!E91+'Proposed Spec Lines'!C$5*'Spec Analysis_ScreenSize'!G91)</f>
        <v>29.8155</v>
      </c>
      <c r="S91" s="180">
        <f t="shared" si="19"/>
        <v>0</v>
      </c>
      <c r="T91" s="180">
        <f t="shared" si="20"/>
        <v>0</v>
      </c>
      <c r="U91" s="212">
        <f t="shared" si="21"/>
        <v>34.25661917532718</v>
      </c>
      <c r="V91" s="212">
        <f t="shared" si="22"/>
        <v>29.8155</v>
      </c>
      <c r="W91" s="13">
        <f t="shared" si="23"/>
        <v>0.71</v>
      </c>
      <c r="X91" s="13">
        <f t="shared" si="24"/>
        <v>0.71</v>
      </c>
      <c r="Y91" s="13">
        <f t="shared" si="25"/>
        <v>0.62</v>
      </c>
      <c r="Z91" s="13">
        <f t="shared" si="26"/>
        <v>0.62</v>
      </c>
      <c r="AB91" s="240">
        <f t="shared" si="28"/>
        <v>0.9615384615384616</v>
      </c>
    </row>
    <row r="92" spans="1:28" ht="12.75">
      <c r="A92" s="181">
        <v>41</v>
      </c>
      <c r="B92" s="173" t="s">
        <v>30</v>
      </c>
      <c r="C92" s="198" t="s">
        <v>2</v>
      </c>
      <c r="D92" s="198">
        <f t="shared" si="27"/>
        <v>1764000</v>
      </c>
      <c r="E92" s="175">
        <f t="shared" si="18"/>
        <v>1.764</v>
      </c>
      <c r="F92" s="176">
        <v>22</v>
      </c>
      <c r="G92" s="37">
        <v>217.45899999999997</v>
      </c>
      <c r="H92" s="199">
        <v>175</v>
      </c>
      <c r="I92" s="199">
        <v>290</v>
      </c>
      <c r="J92" s="200">
        <v>25.9</v>
      </c>
      <c r="K92" s="200">
        <v>35.5</v>
      </c>
      <c r="L92" s="404">
        <f>VLOOKUP($A92,'Master Data'!$A$3:$AP$151,42,1)</f>
        <v>200</v>
      </c>
      <c r="M92" s="405">
        <f>VLOOKUP($A92,'Master Data'!$A$3:$AP$151,41,1)</f>
        <v>28.32234647999545</v>
      </c>
      <c r="N92" s="200">
        <v>0.69</v>
      </c>
      <c r="O92" s="200">
        <v>0.53</v>
      </c>
      <c r="P92" s="303">
        <v>2</v>
      </c>
      <c r="Q92" s="303">
        <v>1</v>
      </c>
      <c r="R92" s="179">
        <f>IF(E92&lt;1.1,'Proposed Spec Lines'!D$3+'Proposed Spec Lines'!D$4*'Spec Analysis_ScreenSize'!E92+'Proposed Spec Lines'!D$5*'Spec Analysis_ScreenSize'!G92,'Proposed Spec Lines'!C$3+'Proposed Spec Lines'!C$4*'Spec Analysis_ScreenSize'!E92+'Proposed Spec Lines'!C$5*'Spec Analysis_ScreenSize'!G92)</f>
        <v>29.748949999999997</v>
      </c>
      <c r="S92" s="180">
        <f t="shared" si="19"/>
        <v>1</v>
      </c>
      <c r="T92" s="180">
        <f t="shared" si="20"/>
        <v>1</v>
      </c>
      <c r="U92" s="212">
        <f t="shared" si="21"/>
        <v>28.32234647999545</v>
      </c>
      <c r="V92" s="212">
        <f t="shared" si="22"/>
        <v>28.32234647999545</v>
      </c>
      <c r="W92" s="13">
        <f t="shared" si="23"/>
        <v>0.69</v>
      </c>
      <c r="X92" s="13">
        <f t="shared" si="24"/>
        <v>0.69</v>
      </c>
      <c r="Y92" s="13">
        <f t="shared" si="25"/>
        <v>0.53</v>
      </c>
      <c r="Z92" s="13">
        <f t="shared" si="26"/>
        <v>0.53</v>
      </c>
      <c r="AB92" s="240">
        <f t="shared" si="28"/>
        <v>0.6896551724137931</v>
      </c>
    </row>
    <row r="93" spans="1:28" ht="12.75">
      <c r="A93" s="185">
        <v>47</v>
      </c>
      <c r="B93" s="173" t="s">
        <v>30</v>
      </c>
      <c r="C93" s="198" t="s">
        <v>2</v>
      </c>
      <c r="D93" s="198">
        <f t="shared" si="27"/>
        <v>1764000</v>
      </c>
      <c r="E93" s="175">
        <f t="shared" si="18"/>
        <v>1.764</v>
      </c>
      <c r="F93" s="176">
        <v>22</v>
      </c>
      <c r="G93" s="37">
        <v>217.45899999999997</v>
      </c>
      <c r="H93" s="199">
        <v>175</v>
      </c>
      <c r="I93" s="199">
        <v>290</v>
      </c>
      <c r="J93" s="200">
        <v>26.1</v>
      </c>
      <c r="K93" s="200">
        <v>35.4</v>
      </c>
      <c r="L93" s="404">
        <f>VLOOKUP($A93,'Master Data'!$A$3:$AP$151,42,1)</f>
        <v>200</v>
      </c>
      <c r="M93" s="405">
        <f>VLOOKUP($A93,'Master Data'!$A$3:$AP$151,41,1)</f>
        <v>28.389605499614913</v>
      </c>
      <c r="N93" s="200">
        <v>0.68</v>
      </c>
      <c r="O93" s="200">
        <v>0.53</v>
      </c>
      <c r="P93" s="303">
        <v>2</v>
      </c>
      <c r="Q93" s="303">
        <v>1</v>
      </c>
      <c r="R93" s="179">
        <f>IF(E93&lt;1.1,'Proposed Spec Lines'!D$3+'Proposed Spec Lines'!D$4*'Spec Analysis_ScreenSize'!E93+'Proposed Spec Lines'!D$5*'Spec Analysis_ScreenSize'!G93,'Proposed Spec Lines'!C$3+'Proposed Spec Lines'!C$4*'Spec Analysis_ScreenSize'!E93+'Proposed Spec Lines'!C$5*'Spec Analysis_ScreenSize'!G93)</f>
        <v>29.748949999999997</v>
      </c>
      <c r="S93" s="180">
        <f t="shared" si="19"/>
        <v>1</v>
      </c>
      <c r="T93" s="180">
        <f t="shared" si="20"/>
        <v>1</v>
      </c>
      <c r="U93" s="212">
        <f t="shared" si="21"/>
        <v>28.389605499614913</v>
      </c>
      <c r="V93" s="212">
        <f t="shared" si="22"/>
        <v>28.389605499614913</v>
      </c>
      <c r="W93" s="13">
        <f t="shared" si="23"/>
        <v>0.68</v>
      </c>
      <c r="X93" s="13">
        <f t="shared" si="24"/>
        <v>0.68</v>
      </c>
      <c r="Y93" s="13">
        <f t="shared" si="25"/>
        <v>0.53</v>
      </c>
      <c r="Z93" s="13">
        <f t="shared" si="26"/>
        <v>0.53</v>
      </c>
      <c r="AB93" s="240">
        <f t="shared" si="28"/>
        <v>0.6896551724137931</v>
      </c>
    </row>
    <row r="94" spans="1:28" ht="12.75">
      <c r="A94" s="173">
        <v>86</v>
      </c>
      <c r="B94" s="173" t="s">
        <v>30</v>
      </c>
      <c r="C94" s="190" t="s">
        <v>2</v>
      </c>
      <c r="D94" s="190">
        <f t="shared" si="27"/>
        <v>1764000</v>
      </c>
      <c r="E94" s="175">
        <f t="shared" si="18"/>
        <v>1.764</v>
      </c>
      <c r="F94" s="176">
        <v>22</v>
      </c>
      <c r="G94" s="37">
        <v>298.28773474666485</v>
      </c>
      <c r="H94" s="191">
        <v>178</v>
      </c>
      <c r="I94" s="191">
        <v>270</v>
      </c>
      <c r="J94" s="192">
        <v>34.2</v>
      </c>
      <c r="K94" s="192">
        <v>42.4</v>
      </c>
      <c r="L94" s="404">
        <f>VLOOKUP($A94,'Master Data'!$A$3:$AP$151,42,1)</f>
        <v>200</v>
      </c>
      <c r="M94" s="405">
        <f>VLOOKUP($A94,'Master Data'!$A$3:$AP$151,41,1)</f>
        <v>36.737881483508964</v>
      </c>
      <c r="N94" s="192">
        <v>0.91</v>
      </c>
      <c r="O94" s="192">
        <v>0.83</v>
      </c>
      <c r="P94" s="303">
        <v>2</v>
      </c>
      <c r="Q94" s="303">
        <v>1</v>
      </c>
      <c r="R94" s="179">
        <f>IF(E94&lt;1.1,'Proposed Spec Lines'!D$3+'Proposed Spec Lines'!D$4*'Spec Analysis_ScreenSize'!E94+'Proposed Spec Lines'!D$5*'Spec Analysis_ScreenSize'!G94,'Proposed Spec Lines'!C$3+'Proposed Spec Lines'!C$4*'Spec Analysis_ScreenSize'!E94+'Proposed Spec Lines'!C$5*'Spec Analysis_ScreenSize'!G94)</f>
        <v>33.79038673733324</v>
      </c>
      <c r="S94" s="180">
        <f t="shared" si="19"/>
        <v>0</v>
      </c>
      <c r="T94" s="180">
        <f t="shared" si="20"/>
        <v>0</v>
      </c>
      <c r="U94" s="212">
        <f t="shared" si="21"/>
        <v>36.737881483508964</v>
      </c>
      <c r="V94" s="212">
        <f t="shared" si="22"/>
        <v>33.79038673733324</v>
      </c>
      <c r="W94" s="13">
        <f t="shared" si="23"/>
        <v>0.91</v>
      </c>
      <c r="X94" s="13">
        <f t="shared" si="24"/>
        <v>0.91</v>
      </c>
      <c r="Y94" s="13">
        <f t="shared" si="25"/>
        <v>0.83</v>
      </c>
      <c r="Z94" s="13">
        <f t="shared" si="26"/>
        <v>0.83</v>
      </c>
      <c r="AB94" s="240">
        <f t="shared" si="28"/>
        <v>0.7407407407407407</v>
      </c>
    </row>
    <row r="95" spans="1:28" ht="12.75">
      <c r="A95" s="185">
        <v>87</v>
      </c>
      <c r="B95" s="173" t="s">
        <v>30</v>
      </c>
      <c r="C95" s="190" t="s">
        <v>2</v>
      </c>
      <c r="D95" s="190">
        <f t="shared" si="27"/>
        <v>1764000</v>
      </c>
      <c r="E95" s="175">
        <f t="shared" si="18"/>
        <v>1.764</v>
      </c>
      <c r="F95" s="176">
        <v>22</v>
      </c>
      <c r="G95" s="37">
        <v>298.28773474666485</v>
      </c>
      <c r="H95" s="191">
        <v>178</v>
      </c>
      <c r="I95" s="191">
        <v>335</v>
      </c>
      <c r="J95" s="192">
        <v>25.7</v>
      </c>
      <c r="K95" s="192">
        <v>38.3</v>
      </c>
      <c r="L95" s="404">
        <f>VLOOKUP($A95,'Master Data'!$A$3:$AP$151,42,1)</f>
        <v>200</v>
      </c>
      <c r="M95" s="405">
        <f>VLOOKUP($A95,'Master Data'!$A$3:$AP$151,41,1)</f>
        <v>28.87644967167497</v>
      </c>
      <c r="N95" s="192">
        <v>0.68</v>
      </c>
      <c r="O95" s="192">
        <v>0.51</v>
      </c>
      <c r="P95" s="303">
        <v>2</v>
      </c>
      <c r="Q95" s="303">
        <v>1</v>
      </c>
      <c r="R95" s="179">
        <f>IF(E95&lt;1.1,'Proposed Spec Lines'!D$3+'Proposed Spec Lines'!D$4*'Spec Analysis_ScreenSize'!E95+'Proposed Spec Lines'!D$5*'Spec Analysis_ScreenSize'!G95,'Proposed Spec Lines'!C$3+'Proposed Spec Lines'!C$4*'Spec Analysis_ScreenSize'!E95+'Proposed Spec Lines'!C$5*'Spec Analysis_ScreenSize'!G95)</f>
        <v>33.79038673733324</v>
      </c>
      <c r="S95" s="180">
        <f t="shared" si="19"/>
        <v>1</v>
      </c>
      <c r="T95" s="180">
        <f t="shared" si="20"/>
        <v>1</v>
      </c>
      <c r="U95" s="212">
        <f t="shared" si="21"/>
        <v>28.87644967167497</v>
      </c>
      <c r="V95" s="212">
        <f t="shared" si="22"/>
        <v>28.87644967167497</v>
      </c>
      <c r="W95" s="13">
        <f t="shared" si="23"/>
        <v>0.68</v>
      </c>
      <c r="X95" s="13">
        <f t="shared" si="24"/>
        <v>0.68</v>
      </c>
      <c r="Y95" s="13">
        <f t="shared" si="25"/>
        <v>0.51</v>
      </c>
      <c r="Z95" s="13">
        <f t="shared" si="26"/>
        <v>0.51</v>
      </c>
      <c r="AB95" s="240">
        <f t="shared" si="28"/>
        <v>0.5970149253731343</v>
      </c>
    </row>
    <row r="96" spans="1:28" ht="12.75">
      <c r="A96" s="181">
        <v>88</v>
      </c>
      <c r="B96" s="173" t="s">
        <v>30</v>
      </c>
      <c r="C96" s="190" t="s">
        <v>2</v>
      </c>
      <c r="D96" s="190">
        <f t="shared" si="27"/>
        <v>1764000</v>
      </c>
      <c r="E96" s="175">
        <f t="shared" si="18"/>
        <v>1.764</v>
      </c>
      <c r="F96" s="176">
        <v>22</v>
      </c>
      <c r="G96" s="37">
        <v>298.28773474666485</v>
      </c>
      <c r="H96" s="194">
        <v>176</v>
      </c>
      <c r="I96" s="194">
        <v>291</v>
      </c>
      <c r="J96" s="201">
        <v>29.6</v>
      </c>
      <c r="K96" s="192">
        <v>39.1</v>
      </c>
      <c r="L96" s="404">
        <f>VLOOKUP($A96,'Master Data'!$A$3:$AP$151,42,1)</f>
        <v>200</v>
      </c>
      <c r="M96" s="405">
        <f>VLOOKUP($A96,'Master Data'!$A$3:$AP$151,41,1)</f>
        <v>32.22847107438017</v>
      </c>
      <c r="N96" s="192">
        <v>0.78</v>
      </c>
      <c r="O96" s="192">
        <v>0.74</v>
      </c>
      <c r="P96" s="303">
        <v>2</v>
      </c>
      <c r="Q96" s="303">
        <v>1</v>
      </c>
      <c r="R96" s="179">
        <f>IF(E96&lt;1.1,'Proposed Spec Lines'!D$3+'Proposed Spec Lines'!D$4*'Spec Analysis_ScreenSize'!E96+'Proposed Spec Lines'!D$5*'Spec Analysis_ScreenSize'!G96,'Proposed Spec Lines'!C$3+'Proposed Spec Lines'!C$4*'Spec Analysis_ScreenSize'!E96+'Proposed Spec Lines'!C$5*'Spec Analysis_ScreenSize'!G96)</f>
        <v>33.79038673733324</v>
      </c>
      <c r="S96" s="180">
        <f t="shared" si="19"/>
        <v>1</v>
      </c>
      <c r="T96" s="180">
        <f t="shared" si="20"/>
        <v>1</v>
      </c>
      <c r="U96" s="212">
        <f t="shared" si="21"/>
        <v>32.22847107438017</v>
      </c>
      <c r="V96" s="212">
        <f t="shared" si="22"/>
        <v>32.22847107438017</v>
      </c>
      <c r="W96" s="13">
        <f t="shared" si="23"/>
        <v>0.78</v>
      </c>
      <c r="X96" s="13">
        <f t="shared" si="24"/>
        <v>0.78</v>
      </c>
      <c r="Y96" s="13">
        <f t="shared" si="25"/>
        <v>0.74</v>
      </c>
      <c r="Z96" s="13">
        <f t="shared" si="26"/>
        <v>0.74</v>
      </c>
      <c r="AB96" s="240">
        <f t="shared" si="28"/>
        <v>0.6872852233676976</v>
      </c>
    </row>
    <row r="97" spans="1:28" ht="12.75">
      <c r="A97" s="185">
        <v>99</v>
      </c>
      <c r="B97" s="173" t="s">
        <v>30</v>
      </c>
      <c r="C97" s="202" t="s">
        <v>2</v>
      </c>
      <c r="D97" s="202">
        <f t="shared" si="27"/>
        <v>1764000</v>
      </c>
      <c r="E97" s="175">
        <f t="shared" si="18"/>
        <v>1.764</v>
      </c>
      <c r="F97" s="176">
        <v>22</v>
      </c>
      <c r="G97" s="37">
        <v>215.76</v>
      </c>
      <c r="H97" s="203">
        <v>175</v>
      </c>
      <c r="I97" s="203">
        <v>251.2</v>
      </c>
      <c r="J97" s="204">
        <v>28.3</v>
      </c>
      <c r="K97" s="204">
        <v>36.3</v>
      </c>
      <c r="L97" s="404">
        <f>VLOOKUP($A97,'Master Data'!$A$3:$AP$151,42,1)</f>
        <v>200</v>
      </c>
      <c r="M97" s="405">
        <f>VLOOKUP($A97,'Master Data'!$A$3:$AP$151,41,1)</f>
        <v>32.63301213327214</v>
      </c>
      <c r="N97" s="204">
        <v>0.89</v>
      </c>
      <c r="O97" s="204">
        <v>0.67</v>
      </c>
      <c r="P97" s="303">
        <v>2</v>
      </c>
      <c r="Q97" s="303">
        <v>1</v>
      </c>
      <c r="R97" s="179">
        <f>IF(E97&lt;1.1,'Proposed Spec Lines'!D$3+'Proposed Spec Lines'!D$4*'Spec Analysis_ScreenSize'!E97+'Proposed Spec Lines'!D$5*'Spec Analysis_ScreenSize'!G97,'Proposed Spec Lines'!C$3+'Proposed Spec Lines'!C$4*'Spec Analysis_ScreenSize'!E97+'Proposed Spec Lines'!C$5*'Spec Analysis_ScreenSize'!G97)</f>
        <v>29.663999999999998</v>
      </c>
      <c r="S97" s="180">
        <f t="shared" si="19"/>
        <v>0</v>
      </c>
      <c r="T97" s="180">
        <f t="shared" si="20"/>
        <v>0</v>
      </c>
      <c r="U97" s="212">
        <f t="shared" si="21"/>
        <v>32.63301213327214</v>
      </c>
      <c r="V97" s="212">
        <f t="shared" si="22"/>
        <v>29.663999999999998</v>
      </c>
      <c r="W97" s="13">
        <f t="shared" si="23"/>
        <v>0.89</v>
      </c>
      <c r="X97" s="13">
        <f t="shared" si="24"/>
        <v>0.89</v>
      </c>
      <c r="Y97" s="13">
        <f t="shared" si="25"/>
        <v>0.67</v>
      </c>
      <c r="Z97" s="13">
        <f t="shared" si="26"/>
        <v>0.67</v>
      </c>
      <c r="AB97" s="240">
        <f t="shared" si="28"/>
        <v>0.7961783439490446</v>
      </c>
    </row>
    <row r="98" spans="1:28" ht="12.75">
      <c r="A98" s="173">
        <v>118</v>
      </c>
      <c r="B98" s="173" t="s">
        <v>30</v>
      </c>
      <c r="C98" s="198" t="s">
        <v>10</v>
      </c>
      <c r="D98" s="198">
        <f t="shared" si="27"/>
        <v>1764000</v>
      </c>
      <c r="E98" s="175">
        <f aca="true" t="shared" si="29" ref="E98:E129">D98/10^6</f>
        <v>1.764</v>
      </c>
      <c r="F98" s="176">
        <v>22</v>
      </c>
      <c r="G98" s="37">
        <v>217.43495566991137</v>
      </c>
      <c r="H98" s="199">
        <v>175</v>
      </c>
      <c r="I98" s="199">
        <v>161</v>
      </c>
      <c r="J98" s="200">
        <v>31.8</v>
      </c>
      <c r="K98" s="200">
        <v>31.2</v>
      </c>
      <c r="L98" s="404">
        <f>VLOOKUP($A98,'Master Data'!$A$3:$AP$151,42,1)</f>
        <v>200</v>
      </c>
      <c r="M98" s="405">
        <f>VLOOKUP($A98,'Master Data'!$A$3:$AP$151,41,1)</f>
        <v>35.537557831262674</v>
      </c>
      <c r="N98" s="200">
        <v>0.52</v>
      </c>
      <c r="O98" s="200">
        <v>0.44</v>
      </c>
      <c r="P98" s="303">
        <v>2</v>
      </c>
      <c r="Q98" s="303">
        <v>1</v>
      </c>
      <c r="R98" s="179">
        <f>IF(E98&lt;1.1,'Proposed Spec Lines'!D$3+'Proposed Spec Lines'!D$4*'Spec Analysis_ScreenSize'!E98+'Proposed Spec Lines'!D$5*'Spec Analysis_ScreenSize'!G98,'Proposed Spec Lines'!C$3+'Proposed Spec Lines'!C$4*'Spec Analysis_ScreenSize'!E98+'Proposed Spec Lines'!C$5*'Spec Analysis_ScreenSize'!G98)</f>
        <v>29.74774778349557</v>
      </c>
      <c r="S98" s="180">
        <f aca="true" t="shared" si="30" ref="S98:S129">IF(R98&gt;=M98,1,0)</f>
        <v>0</v>
      </c>
      <c r="T98" s="180">
        <f t="shared" si="20"/>
        <v>0</v>
      </c>
      <c r="U98" s="212">
        <f t="shared" si="21"/>
        <v>35.537557831262674</v>
      </c>
      <c r="V98" s="212">
        <f t="shared" si="22"/>
        <v>29.74774778349557</v>
      </c>
      <c r="W98" s="13">
        <f t="shared" si="23"/>
        <v>0.52</v>
      </c>
      <c r="X98" s="13">
        <f t="shared" si="24"/>
        <v>0.52</v>
      </c>
      <c r="Y98" s="13">
        <f t="shared" si="25"/>
        <v>0.44</v>
      </c>
      <c r="Z98" s="13">
        <f t="shared" si="26"/>
        <v>0.44</v>
      </c>
      <c r="AB98" s="240">
        <f t="shared" si="28"/>
        <v>1.2422360248447204</v>
      </c>
    </row>
    <row r="99" spans="1:28" ht="12.75">
      <c r="A99" s="173">
        <v>121</v>
      </c>
      <c r="B99" s="173" t="s">
        <v>30</v>
      </c>
      <c r="C99" s="198" t="s">
        <v>10</v>
      </c>
      <c r="D99" s="198">
        <f t="shared" si="27"/>
        <v>1764000</v>
      </c>
      <c r="E99" s="175">
        <f t="shared" si="29"/>
        <v>1.764</v>
      </c>
      <c r="F99" s="176">
        <v>22</v>
      </c>
      <c r="G99" s="37">
        <v>217.43495566991137</v>
      </c>
      <c r="H99" s="199">
        <v>175</v>
      </c>
      <c r="I99" s="199">
        <v>187</v>
      </c>
      <c r="J99" s="200">
        <v>29.4</v>
      </c>
      <c r="K99" s="200">
        <v>34.6</v>
      </c>
      <c r="L99" s="404">
        <f>VLOOKUP($A99,'Master Data'!$A$3:$AP$151,42,1)</f>
        <v>200</v>
      </c>
      <c r="M99" s="405">
        <f>VLOOKUP($A99,'Master Data'!$A$3:$AP$151,41,1)</f>
        <v>33.19246794491977</v>
      </c>
      <c r="N99" s="200">
        <v>0.49</v>
      </c>
      <c r="O99" s="200">
        <v>0.4</v>
      </c>
      <c r="P99" s="303">
        <v>2</v>
      </c>
      <c r="Q99" s="303">
        <v>1</v>
      </c>
      <c r="R99" s="179">
        <f>IF(E99&lt;1.1,'Proposed Spec Lines'!D$3+'Proposed Spec Lines'!D$4*'Spec Analysis_ScreenSize'!E99+'Proposed Spec Lines'!D$5*'Spec Analysis_ScreenSize'!G99,'Proposed Spec Lines'!C$3+'Proposed Spec Lines'!C$4*'Spec Analysis_ScreenSize'!E99+'Proposed Spec Lines'!C$5*'Spec Analysis_ScreenSize'!G99)</f>
        <v>29.74774778349557</v>
      </c>
      <c r="S99" s="180">
        <f t="shared" si="30"/>
        <v>0</v>
      </c>
      <c r="T99" s="180">
        <f t="shared" si="20"/>
        <v>0</v>
      </c>
      <c r="U99" s="212">
        <f t="shared" si="21"/>
        <v>33.19246794491977</v>
      </c>
      <c r="V99" s="212">
        <f t="shared" si="22"/>
        <v>29.74774778349557</v>
      </c>
      <c r="W99" s="13">
        <f t="shared" si="23"/>
        <v>0.49</v>
      </c>
      <c r="X99" s="13">
        <f t="shared" si="24"/>
        <v>0.49</v>
      </c>
      <c r="Y99" s="13">
        <f t="shared" si="25"/>
        <v>0.4</v>
      </c>
      <c r="Z99" s="13">
        <f t="shared" si="26"/>
        <v>0.4</v>
      </c>
      <c r="AB99" s="240">
        <f t="shared" si="28"/>
        <v>1.0695187165775402</v>
      </c>
    </row>
    <row r="100" spans="1:28" ht="12.75">
      <c r="A100" s="181">
        <v>136</v>
      </c>
      <c r="B100" s="173" t="s">
        <v>30</v>
      </c>
      <c r="C100" s="195" t="s">
        <v>10</v>
      </c>
      <c r="D100" s="195">
        <f t="shared" si="27"/>
        <v>1764000</v>
      </c>
      <c r="E100" s="175">
        <f t="shared" si="29"/>
        <v>1.764</v>
      </c>
      <c r="F100" s="176">
        <v>22</v>
      </c>
      <c r="G100" s="37">
        <v>217.43495566991137</v>
      </c>
      <c r="H100" s="196">
        <v>175</v>
      </c>
      <c r="I100" s="196">
        <v>187</v>
      </c>
      <c r="J100" s="197">
        <v>29.4</v>
      </c>
      <c r="K100" s="197">
        <v>34.6</v>
      </c>
      <c r="L100" s="404">
        <f>VLOOKUP($A100,'Master Data'!$A$3:$AP$151,42,1)</f>
        <v>169.4</v>
      </c>
      <c r="M100" s="405">
        <f>VLOOKUP($A100,'Master Data'!$A$3:$AP$151,41,1)</f>
        <v>30.96518285023582</v>
      </c>
      <c r="N100" s="197">
        <v>0.49</v>
      </c>
      <c r="O100" s="197">
        <v>0.4</v>
      </c>
      <c r="P100" s="303">
        <v>2</v>
      </c>
      <c r="Q100" s="303">
        <v>1</v>
      </c>
      <c r="R100" s="179">
        <f>IF(E100&lt;1.1,'Proposed Spec Lines'!D$3+'Proposed Spec Lines'!D$4*'Spec Analysis_ScreenSize'!E100+'Proposed Spec Lines'!D$5*'Spec Analysis_ScreenSize'!G100,'Proposed Spec Lines'!C$3+'Proposed Spec Lines'!C$4*'Spec Analysis_ScreenSize'!E100+'Proposed Spec Lines'!C$5*'Spec Analysis_ScreenSize'!G100)</f>
        <v>29.74774778349557</v>
      </c>
      <c r="S100" s="180">
        <f t="shared" si="30"/>
        <v>0</v>
      </c>
      <c r="T100" s="180">
        <f t="shared" si="20"/>
        <v>0</v>
      </c>
      <c r="U100" s="212">
        <f t="shared" si="21"/>
        <v>30.96518285023582</v>
      </c>
      <c r="V100" s="212">
        <f t="shared" si="22"/>
        <v>29.74774778349557</v>
      </c>
      <c r="W100" s="13">
        <f t="shared" si="23"/>
        <v>0.49</v>
      </c>
      <c r="X100" s="13">
        <f t="shared" si="24"/>
        <v>0.49</v>
      </c>
      <c r="Y100" s="13">
        <f t="shared" si="25"/>
        <v>0.4</v>
      </c>
      <c r="Z100" s="13">
        <f t="shared" si="26"/>
        <v>0.4</v>
      </c>
      <c r="AB100" s="240">
        <f t="shared" si="28"/>
        <v>1.0695187165775402</v>
      </c>
    </row>
    <row r="101" spans="1:28" ht="12.75">
      <c r="A101" s="173">
        <v>68</v>
      </c>
      <c r="B101" s="173" t="s">
        <v>30</v>
      </c>
      <c r="C101" s="205" t="s">
        <v>2</v>
      </c>
      <c r="D101" s="205">
        <f t="shared" si="27"/>
        <v>1764000</v>
      </c>
      <c r="E101" s="175">
        <f t="shared" si="29"/>
        <v>1.764</v>
      </c>
      <c r="F101" s="176">
        <v>22.112286090432676</v>
      </c>
      <c r="G101" s="37">
        <v>228</v>
      </c>
      <c r="H101" s="206">
        <v>174.2</v>
      </c>
      <c r="I101" s="206">
        <v>280.2</v>
      </c>
      <c r="J101" s="207">
        <v>29.07</v>
      </c>
      <c r="K101" s="207">
        <v>41.42</v>
      </c>
      <c r="L101" s="404">
        <f>VLOOKUP($A101,'Master Data'!$A$3:$AP$151,42,1)</f>
        <v>175.74</v>
      </c>
      <c r="M101" s="405">
        <f>VLOOKUP($A101,'Master Data'!$A$3:$AP$151,41,1)</f>
        <v>29.341084416580447</v>
      </c>
      <c r="N101" s="207">
        <v>0.849</v>
      </c>
      <c r="O101" s="207">
        <v>0.783</v>
      </c>
      <c r="P101" s="303">
        <v>2</v>
      </c>
      <c r="Q101" s="303">
        <v>1</v>
      </c>
      <c r="R101" s="179">
        <f>IF(E101&lt;1.1,'Proposed Spec Lines'!D$3+'Proposed Spec Lines'!D$4*'Spec Analysis_ScreenSize'!E101+'Proposed Spec Lines'!D$5*'Spec Analysis_ScreenSize'!G101,'Proposed Spec Lines'!C$3+'Proposed Spec Lines'!C$4*'Spec Analysis_ScreenSize'!E101+'Proposed Spec Lines'!C$5*'Spec Analysis_ScreenSize'!G101)</f>
        <v>30.275999999999996</v>
      </c>
      <c r="S101" s="180">
        <f t="shared" si="30"/>
        <v>1</v>
      </c>
      <c r="T101" s="180">
        <f t="shared" si="20"/>
        <v>1</v>
      </c>
      <c r="U101" s="212">
        <f t="shared" si="21"/>
        <v>29.341084416580447</v>
      </c>
      <c r="V101" s="212">
        <f t="shared" si="22"/>
        <v>29.341084416580447</v>
      </c>
      <c r="W101" s="13">
        <f t="shared" si="23"/>
        <v>0.849</v>
      </c>
      <c r="X101" s="13">
        <f t="shared" si="24"/>
        <v>0.849</v>
      </c>
      <c r="Y101" s="13">
        <f t="shared" si="25"/>
        <v>0.783</v>
      </c>
      <c r="Z101" s="13">
        <f t="shared" si="26"/>
        <v>0.783</v>
      </c>
      <c r="AB101" s="240">
        <f t="shared" si="28"/>
        <v>0.7137758743754461</v>
      </c>
    </row>
    <row r="102" spans="1:28" ht="12.75">
      <c r="A102" s="173">
        <v>72</v>
      </c>
      <c r="B102" s="173" t="s">
        <v>30</v>
      </c>
      <c r="C102" s="174" t="s">
        <v>2</v>
      </c>
      <c r="D102" s="174">
        <f t="shared" si="27"/>
        <v>1764000</v>
      </c>
      <c r="E102" s="175">
        <f t="shared" si="29"/>
        <v>1.764</v>
      </c>
      <c r="F102" s="176">
        <v>22.112286090432676</v>
      </c>
      <c r="G102" s="37">
        <v>414.6</v>
      </c>
      <c r="H102" s="177">
        <v>175.2</v>
      </c>
      <c r="I102" s="177">
        <v>255.7</v>
      </c>
      <c r="J102" s="178">
        <v>25.09</v>
      </c>
      <c r="K102" s="178">
        <v>30.71</v>
      </c>
      <c r="L102" s="404">
        <f>VLOOKUP($A102,'Master Data'!$A$3:$AP$151,42,1)</f>
        <v>200</v>
      </c>
      <c r="M102" s="405">
        <f>VLOOKUP($A102,'Master Data'!$A$3:$AP$151,41,1)</f>
        <v>26.694295467267487</v>
      </c>
      <c r="N102" s="178">
        <v>0.882</v>
      </c>
      <c r="O102" s="178">
        <v>0.663</v>
      </c>
      <c r="P102" s="303">
        <v>2</v>
      </c>
      <c r="Q102" s="303">
        <v>1</v>
      </c>
      <c r="R102" s="179">
        <f>IF(E102&lt;1.1,'Proposed Spec Lines'!D$3+'Proposed Spec Lines'!D$4*'Spec Analysis_ScreenSize'!E102+'Proposed Spec Lines'!D$5*'Spec Analysis_ScreenSize'!G102,'Proposed Spec Lines'!C$3+'Proposed Spec Lines'!C$4*'Spec Analysis_ScreenSize'!E102+'Proposed Spec Lines'!C$5*'Spec Analysis_ScreenSize'!G102)</f>
        <v>39.606</v>
      </c>
      <c r="S102" s="180">
        <f t="shared" si="30"/>
        <v>1</v>
      </c>
      <c r="T102" s="180">
        <f t="shared" si="20"/>
        <v>1</v>
      </c>
      <c r="U102" s="212">
        <f t="shared" si="21"/>
        <v>26.694295467267487</v>
      </c>
      <c r="V102" s="212">
        <f t="shared" si="22"/>
        <v>26.694295467267487</v>
      </c>
      <c r="W102" s="13">
        <f t="shared" si="23"/>
        <v>0.882</v>
      </c>
      <c r="X102" s="13">
        <f t="shared" si="24"/>
        <v>0.882</v>
      </c>
      <c r="Y102" s="13">
        <f t="shared" si="25"/>
        <v>0.663</v>
      </c>
      <c r="Z102" s="13">
        <f t="shared" si="26"/>
        <v>0.663</v>
      </c>
      <c r="AB102" s="240">
        <f t="shared" si="28"/>
        <v>0.7821666014861166</v>
      </c>
    </row>
    <row r="103" spans="1:28" ht="12.75">
      <c r="A103" s="173">
        <v>1</v>
      </c>
      <c r="B103" s="173" t="s">
        <v>30</v>
      </c>
      <c r="C103" s="182" t="s">
        <v>1</v>
      </c>
      <c r="D103" s="182">
        <f aca="true" t="shared" si="31" ref="D103:D119">1920*1200</f>
        <v>2304000</v>
      </c>
      <c r="E103" s="175">
        <f t="shared" si="29"/>
        <v>2.304</v>
      </c>
      <c r="F103" s="176">
        <v>24</v>
      </c>
      <c r="G103" s="37">
        <v>258.06</v>
      </c>
      <c r="H103" s="183">
        <v>175</v>
      </c>
      <c r="I103" s="183">
        <v>458.9</v>
      </c>
      <c r="J103" s="184">
        <v>56.67</v>
      </c>
      <c r="K103" s="184">
        <v>97.47</v>
      </c>
      <c r="L103" s="404">
        <f>VLOOKUP($A103,'Master Data'!$A$3:$AP$151,42,1)</f>
        <v>174.28</v>
      </c>
      <c r="M103" s="405">
        <f>VLOOKUP($A103,'Master Data'!$A$3:$AP$151,41,1)</f>
        <v>57.69037577482213</v>
      </c>
      <c r="N103" s="184">
        <v>1.72</v>
      </c>
      <c r="O103" s="184">
        <v>0.75</v>
      </c>
      <c r="P103" s="303">
        <v>2</v>
      </c>
      <c r="Q103" s="303">
        <v>1</v>
      </c>
      <c r="R103" s="179">
        <f>IF(E103&lt;1.1,'Proposed Spec Lines'!D$3+'Proposed Spec Lines'!D$4*'Spec Analysis_ScreenSize'!E103+'Proposed Spec Lines'!D$5*'Spec Analysis_ScreenSize'!G103,'Proposed Spec Lines'!C$3+'Proposed Spec Lines'!C$4*'Spec Analysis_ScreenSize'!E103+'Proposed Spec Lines'!C$5*'Spec Analysis_ScreenSize'!G103)</f>
        <v>36.638999999999996</v>
      </c>
      <c r="S103" s="180">
        <f t="shared" si="30"/>
        <v>0</v>
      </c>
      <c r="T103" s="180">
        <f t="shared" si="20"/>
        <v>0</v>
      </c>
      <c r="U103" s="212">
        <f t="shared" si="21"/>
        <v>57.69037577482213</v>
      </c>
      <c r="V103" s="212">
        <f t="shared" si="22"/>
        <v>36.638999999999996</v>
      </c>
      <c r="W103" s="13">
        <f t="shared" si="23"/>
        <v>1.72</v>
      </c>
      <c r="X103" s="13">
        <f t="shared" si="24"/>
        <v>1.72</v>
      </c>
      <c r="Y103" s="13">
        <f t="shared" si="25"/>
        <v>0.75</v>
      </c>
      <c r="Z103" s="13">
        <f t="shared" si="26"/>
        <v>0.75</v>
      </c>
      <c r="AB103" s="240">
        <f t="shared" si="28"/>
        <v>0.4358247984310307</v>
      </c>
    </row>
    <row r="104" spans="1:28" ht="12.75">
      <c r="A104" s="209">
        <v>11</v>
      </c>
      <c r="B104" s="173" t="s">
        <v>30</v>
      </c>
      <c r="C104" s="186" t="s">
        <v>1</v>
      </c>
      <c r="D104" s="186">
        <f t="shared" si="31"/>
        <v>2304000</v>
      </c>
      <c r="E104" s="175">
        <f t="shared" si="29"/>
        <v>2.304</v>
      </c>
      <c r="F104" s="176">
        <v>24</v>
      </c>
      <c r="G104" s="37">
        <v>262.4769</v>
      </c>
      <c r="H104" s="187">
        <v>174</v>
      </c>
      <c r="I104" s="187">
        <v>154</v>
      </c>
      <c r="J104" s="188">
        <v>65.2</v>
      </c>
      <c r="K104" s="188">
        <v>58.6</v>
      </c>
      <c r="L104" s="404">
        <f>VLOOKUP($A104,'Master Data'!$A$3:$AP$151,42,1)</f>
        <v>163.36</v>
      </c>
      <c r="M104" s="405">
        <f>VLOOKUP($A104,'Master Data'!$A$3:$AP$151,41,1)</f>
        <v>58.770899093820155</v>
      </c>
      <c r="N104" s="188">
        <v>0.8</v>
      </c>
      <c r="O104" s="188">
        <v>0.7</v>
      </c>
      <c r="P104" s="303">
        <v>2</v>
      </c>
      <c r="Q104" s="303">
        <v>1</v>
      </c>
      <c r="R104" s="179">
        <f>IF(E104&lt;1.1,'Proposed Spec Lines'!D$3+'Proposed Spec Lines'!D$4*'Spec Analysis_ScreenSize'!E104+'Proposed Spec Lines'!D$5*'Spec Analysis_ScreenSize'!G104,'Proposed Spec Lines'!C$3+'Proposed Spec Lines'!C$4*'Spec Analysis_ScreenSize'!E104+'Proposed Spec Lines'!C$5*'Spec Analysis_ScreenSize'!G104)</f>
        <v>36.859845</v>
      </c>
      <c r="S104" s="180">
        <f t="shared" si="30"/>
        <v>0</v>
      </c>
      <c r="T104" s="180">
        <f t="shared" si="20"/>
        <v>0</v>
      </c>
      <c r="U104" s="212">
        <f t="shared" si="21"/>
        <v>58.770899093820155</v>
      </c>
      <c r="V104" s="212">
        <f t="shared" si="22"/>
        <v>36.859845</v>
      </c>
      <c r="W104" s="13">
        <f t="shared" si="23"/>
        <v>0.8</v>
      </c>
      <c r="X104" s="13">
        <f t="shared" si="24"/>
        <v>0.8</v>
      </c>
      <c r="Y104" s="13">
        <f t="shared" si="25"/>
        <v>0.7</v>
      </c>
      <c r="Z104" s="13">
        <f t="shared" si="26"/>
        <v>0.7</v>
      </c>
      <c r="AB104" s="240">
        <f t="shared" si="28"/>
        <v>1.2987012987012987</v>
      </c>
    </row>
    <row r="105" spans="1:28" ht="12.75">
      <c r="A105" s="173">
        <v>42</v>
      </c>
      <c r="B105" s="173" t="s">
        <v>30</v>
      </c>
      <c r="C105" s="198" t="s">
        <v>1</v>
      </c>
      <c r="D105" s="198">
        <f t="shared" si="31"/>
        <v>2304000</v>
      </c>
      <c r="E105" s="175">
        <f t="shared" si="29"/>
        <v>2.304</v>
      </c>
      <c r="F105" s="176">
        <v>24</v>
      </c>
      <c r="G105" s="37">
        <v>260.1</v>
      </c>
      <c r="H105" s="199">
        <v>175</v>
      </c>
      <c r="I105" s="199">
        <v>400</v>
      </c>
      <c r="J105" s="200">
        <v>54.6</v>
      </c>
      <c r="K105" s="200">
        <v>80.1</v>
      </c>
      <c r="L105" s="404">
        <f>VLOOKUP($A105,'Master Data'!$A$3:$AP$151,42,1)</f>
        <v>200</v>
      </c>
      <c r="M105" s="405">
        <f>VLOOKUP($A105,'Master Data'!$A$3:$AP$151,41,1)</f>
        <v>54.943617063009505</v>
      </c>
      <c r="N105" s="200">
        <v>0.67</v>
      </c>
      <c r="O105" s="200">
        <v>0.52</v>
      </c>
      <c r="P105" s="303">
        <v>2</v>
      </c>
      <c r="Q105" s="303">
        <v>1</v>
      </c>
      <c r="R105" s="179">
        <f>IF(E105&lt;1.1,'Proposed Spec Lines'!D$3+'Proposed Spec Lines'!D$4*'Spec Analysis_ScreenSize'!E105+'Proposed Spec Lines'!D$5*'Spec Analysis_ScreenSize'!G105,'Proposed Spec Lines'!C$3+'Proposed Spec Lines'!C$4*'Spec Analysis_ScreenSize'!E105+'Proposed Spec Lines'!C$5*'Spec Analysis_ScreenSize'!G105)</f>
        <v>36.741</v>
      </c>
      <c r="S105" s="180">
        <f t="shared" si="30"/>
        <v>0</v>
      </c>
      <c r="T105" s="180">
        <f t="shared" si="20"/>
        <v>0</v>
      </c>
      <c r="U105" s="212">
        <f t="shared" si="21"/>
        <v>54.943617063009505</v>
      </c>
      <c r="V105" s="212">
        <f t="shared" si="22"/>
        <v>36.741</v>
      </c>
      <c r="W105" s="13">
        <f t="shared" si="23"/>
        <v>0.67</v>
      </c>
      <c r="X105" s="13">
        <f t="shared" si="24"/>
        <v>0.67</v>
      </c>
      <c r="Y105" s="13">
        <f t="shared" si="25"/>
        <v>0.52</v>
      </c>
      <c r="Z105" s="13">
        <f t="shared" si="26"/>
        <v>0.52</v>
      </c>
      <c r="AB105" s="240">
        <f t="shared" si="28"/>
        <v>0.5</v>
      </c>
    </row>
    <row r="106" spans="1:28" ht="12.75">
      <c r="A106" s="173">
        <v>48</v>
      </c>
      <c r="B106" s="173" t="s">
        <v>30</v>
      </c>
      <c r="C106" s="198" t="s">
        <v>1</v>
      </c>
      <c r="D106" s="198">
        <f t="shared" si="31"/>
        <v>2304000</v>
      </c>
      <c r="E106" s="175">
        <f t="shared" si="29"/>
        <v>2.304</v>
      </c>
      <c r="F106" s="176">
        <v>24</v>
      </c>
      <c r="G106" s="37">
        <v>260.1</v>
      </c>
      <c r="H106" s="199">
        <v>175</v>
      </c>
      <c r="I106" s="199">
        <v>298</v>
      </c>
      <c r="J106" s="200">
        <v>54.2</v>
      </c>
      <c r="K106" s="200">
        <v>79.9</v>
      </c>
      <c r="L106" s="404">
        <f>VLOOKUP($A106,'Master Data'!$A$3:$AP$151,42,1)</f>
        <v>200</v>
      </c>
      <c r="M106" s="405">
        <f>VLOOKUP($A106,'Master Data'!$A$3:$AP$151,41,1)</f>
        <v>57.91056513230305</v>
      </c>
      <c r="N106" s="200">
        <v>0.68</v>
      </c>
      <c r="O106" s="200">
        <v>0.51</v>
      </c>
      <c r="P106" s="303">
        <v>2</v>
      </c>
      <c r="Q106" s="303">
        <v>1</v>
      </c>
      <c r="R106" s="179">
        <f>IF(E106&lt;1.1,'Proposed Spec Lines'!D$3+'Proposed Spec Lines'!D$4*'Spec Analysis_ScreenSize'!E106+'Proposed Spec Lines'!D$5*'Spec Analysis_ScreenSize'!G106,'Proposed Spec Lines'!C$3+'Proposed Spec Lines'!C$4*'Spec Analysis_ScreenSize'!E106+'Proposed Spec Lines'!C$5*'Spec Analysis_ScreenSize'!G106)</f>
        <v>36.741</v>
      </c>
      <c r="S106" s="180">
        <f t="shared" si="30"/>
        <v>0</v>
      </c>
      <c r="T106" s="180">
        <f t="shared" si="20"/>
        <v>0</v>
      </c>
      <c r="U106" s="212">
        <f t="shared" si="21"/>
        <v>57.91056513230305</v>
      </c>
      <c r="V106" s="212">
        <f t="shared" si="22"/>
        <v>36.741</v>
      </c>
      <c r="W106" s="13">
        <f t="shared" si="23"/>
        <v>0.68</v>
      </c>
      <c r="X106" s="13">
        <f t="shared" si="24"/>
        <v>0.68</v>
      </c>
      <c r="Y106" s="13">
        <f t="shared" si="25"/>
        <v>0.51</v>
      </c>
      <c r="Z106" s="13">
        <f t="shared" si="26"/>
        <v>0.51</v>
      </c>
      <c r="AB106" s="240">
        <f t="shared" si="28"/>
        <v>0.6711409395973155</v>
      </c>
    </row>
    <row r="107" spans="1:28" ht="12.75">
      <c r="A107" s="173">
        <v>108</v>
      </c>
      <c r="B107" s="173" t="s">
        <v>30</v>
      </c>
      <c r="C107" s="202" t="s">
        <v>1</v>
      </c>
      <c r="D107" s="202">
        <f t="shared" si="31"/>
        <v>2304000</v>
      </c>
      <c r="E107" s="175">
        <f t="shared" si="29"/>
        <v>2.304</v>
      </c>
      <c r="F107" s="176">
        <v>24</v>
      </c>
      <c r="G107" s="37">
        <v>259.08</v>
      </c>
      <c r="H107" s="203">
        <v>175</v>
      </c>
      <c r="I107" s="203">
        <v>406.3</v>
      </c>
      <c r="J107" s="204">
        <v>42.5</v>
      </c>
      <c r="K107" s="204">
        <v>74.9</v>
      </c>
      <c r="L107" s="404">
        <f>VLOOKUP($A107,'Master Data'!$A$3:$AP$151,42,1)</f>
        <v>200</v>
      </c>
      <c r="M107" s="405">
        <f>VLOOKUP($A107,'Master Data'!$A$3:$AP$151,41,1)</f>
        <v>48.10273086938313</v>
      </c>
      <c r="N107" s="204">
        <v>0.6</v>
      </c>
      <c r="O107" s="204">
        <v>0.48</v>
      </c>
      <c r="P107" s="303">
        <v>2</v>
      </c>
      <c r="Q107" s="303">
        <v>1</v>
      </c>
      <c r="R107" s="179">
        <f>IF(E107&lt;1.1,'Proposed Spec Lines'!D$3+'Proposed Spec Lines'!D$4*'Spec Analysis_ScreenSize'!E107+'Proposed Spec Lines'!D$5*'Spec Analysis_ScreenSize'!G107,'Proposed Spec Lines'!C$3+'Proposed Spec Lines'!C$4*'Spec Analysis_ScreenSize'!E107+'Proposed Spec Lines'!C$5*'Spec Analysis_ScreenSize'!G107)</f>
        <v>36.69</v>
      </c>
      <c r="S107" s="180">
        <f t="shared" si="30"/>
        <v>0</v>
      </c>
      <c r="T107" s="180">
        <f t="shared" si="20"/>
        <v>0</v>
      </c>
      <c r="U107" s="212">
        <f t="shared" si="21"/>
        <v>48.10273086938313</v>
      </c>
      <c r="V107" s="212">
        <f t="shared" si="22"/>
        <v>36.69</v>
      </c>
      <c r="W107" s="13">
        <f t="shared" si="23"/>
        <v>0.6</v>
      </c>
      <c r="X107" s="13">
        <f t="shared" si="24"/>
        <v>0.6</v>
      </c>
      <c r="Y107" s="13">
        <f t="shared" si="25"/>
        <v>0.48</v>
      </c>
      <c r="Z107" s="13">
        <f t="shared" si="26"/>
        <v>0.48</v>
      </c>
      <c r="AB107" s="240">
        <f t="shared" si="28"/>
        <v>0.4922471080482402</v>
      </c>
    </row>
    <row r="108" spans="1:28" ht="12.75">
      <c r="A108" s="209">
        <v>127</v>
      </c>
      <c r="B108" s="173" t="s">
        <v>30</v>
      </c>
      <c r="C108" s="198" t="s">
        <v>11</v>
      </c>
      <c r="D108" s="198">
        <f t="shared" si="31"/>
        <v>2304000</v>
      </c>
      <c r="E108" s="175">
        <f t="shared" si="29"/>
        <v>2.304</v>
      </c>
      <c r="F108" s="176">
        <v>24</v>
      </c>
      <c r="G108" s="37">
        <v>260.3410006820014</v>
      </c>
      <c r="H108" s="199">
        <v>175</v>
      </c>
      <c r="I108" s="199">
        <v>284</v>
      </c>
      <c r="J108" s="200">
        <v>37</v>
      </c>
      <c r="K108" s="200">
        <v>68.4</v>
      </c>
      <c r="L108" s="404">
        <f>VLOOKUP($A108,'Master Data'!$A$3:$AP$151,42,1)</f>
        <v>200</v>
      </c>
      <c r="M108" s="405">
        <f>VLOOKUP($A108,'Master Data'!$A$3:$AP$151,41,1)</f>
        <v>46.74800450342184</v>
      </c>
      <c r="N108" s="200">
        <v>0.78</v>
      </c>
      <c r="O108" s="200">
        <v>0.72</v>
      </c>
      <c r="P108" s="303">
        <v>2</v>
      </c>
      <c r="Q108" s="303">
        <v>1</v>
      </c>
      <c r="R108" s="179">
        <f>IF(E108&lt;1.1,'Proposed Spec Lines'!D$3+'Proposed Spec Lines'!D$4*'Spec Analysis_ScreenSize'!E108+'Proposed Spec Lines'!D$5*'Spec Analysis_ScreenSize'!G108,'Proposed Spec Lines'!C$3+'Proposed Spec Lines'!C$4*'Spec Analysis_ScreenSize'!E108+'Proposed Spec Lines'!C$5*'Spec Analysis_ScreenSize'!G108)</f>
        <v>36.75305003410007</v>
      </c>
      <c r="S108" s="180">
        <f t="shared" si="30"/>
        <v>0</v>
      </c>
      <c r="T108" s="180">
        <f t="shared" si="20"/>
        <v>0</v>
      </c>
      <c r="U108" s="212">
        <f t="shared" si="21"/>
        <v>46.74800450342184</v>
      </c>
      <c r="V108" s="212">
        <f t="shared" si="22"/>
        <v>36.75305003410007</v>
      </c>
      <c r="W108" s="13">
        <f t="shared" si="23"/>
        <v>0.78</v>
      </c>
      <c r="X108" s="13">
        <f t="shared" si="24"/>
        <v>0.78</v>
      </c>
      <c r="Y108" s="13">
        <f t="shared" si="25"/>
        <v>0.72</v>
      </c>
      <c r="Z108" s="13">
        <f t="shared" si="26"/>
        <v>0.72</v>
      </c>
      <c r="AB108" s="240">
        <f t="shared" si="28"/>
        <v>0.704225352112676</v>
      </c>
    </row>
    <row r="109" spans="1:28" ht="12.75">
      <c r="A109" s="173">
        <v>137</v>
      </c>
      <c r="B109" s="173" t="s">
        <v>30</v>
      </c>
      <c r="C109" s="195" t="s">
        <v>11</v>
      </c>
      <c r="D109" s="195">
        <f t="shared" si="31"/>
        <v>2304000</v>
      </c>
      <c r="E109" s="175">
        <f t="shared" si="29"/>
        <v>2.304</v>
      </c>
      <c r="F109" s="176">
        <v>24</v>
      </c>
      <c r="G109" s="37">
        <v>260.3410006820014</v>
      </c>
      <c r="H109" s="196">
        <v>175</v>
      </c>
      <c r="I109" s="196">
        <v>284</v>
      </c>
      <c r="J109" s="197">
        <v>38</v>
      </c>
      <c r="K109" s="197">
        <v>68.4</v>
      </c>
      <c r="L109" s="404">
        <f>VLOOKUP($A109,'Master Data'!$A$3:$AP$151,42,1)</f>
        <v>167.32</v>
      </c>
      <c r="M109" s="405">
        <f>VLOOKUP($A109,'Master Data'!$A$3:$AP$151,41,1)</f>
        <v>42.908676722254945</v>
      </c>
      <c r="N109" s="197">
        <v>0.78</v>
      </c>
      <c r="O109" s="197">
        <v>0.72</v>
      </c>
      <c r="P109" s="303">
        <v>2</v>
      </c>
      <c r="Q109" s="303">
        <v>1</v>
      </c>
      <c r="R109" s="179">
        <f>IF(E109&lt;1.1,'Proposed Spec Lines'!D$3+'Proposed Spec Lines'!D$4*'Spec Analysis_ScreenSize'!E109+'Proposed Spec Lines'!D$5*'Spec Analysis_ScreenSize'!G109,'Proposed Spec Lines'!C$3+'Proposed Spec Lines'!C$4*'Spec Analysis_ScreenSize'!E109+'Proposed Spec Lines'!C$5*'Spec Analysis_ScreenSize'!G109)</f>
        <v>36.75305003410007</v>
      </c>
      <c r="S109" s="180">
        <f t="shared" si="30"/>
        <v>0</v>
      </c>
      <c r="T109" s="180">
        <f t="shared" si="20"/>
        <v>0</v>
      </c>
      <c r="U109" s="212">
        <f t="shared" si="21"/>
        <v>42.908676722254945</v>
      </c>
      <c r="V109" s="212">
        <f t="shared" si="22"/>
        <v>36.75305003410007</v>
      </c>
      <c r="W109" s="13">
        <f t="shared" si="23"/>
        <v>0.78</v>
      </c>
      <c r="X109" s="13">
        <f t="shared" si="24"/>
        <v>0.78</v>
      </c>
      <c r="Y109" s="13">
        <f t="shared" si="25"/>
        <v>0.72</v>
      </c>
      <c r="Z109" s="13">
        <f t="shared" si="26"/>
        <v>0.72</v>
      </c>
      <c r="AB109" s="240">
        <f t="shared" si="28"/>
        <v>0.704225352112676</v>
      </c>
    </row>
    <row r="110" spans="1:28" ht="12.75">
      <c r="A110" s="173">
        <v>69</v>
      </c>
      <c r="B110" s="173" t="s">
        <v>30</v>
      </c>
      <c r="C110" s="174" t="s">
        <v>1</v>
      </c>
      <c r="D110" s="174">
        <f t="shared" si="31"/>
        <v>2304000</v>
      </c>
      <c r="E110" s="175">
        <f t="shared" si="29"/>
        <v>2.304</v>
      </c>
      <c r="F110" s="176">
        <v>24.06779438414441</v>
      </c>
      <c r="G110" s="37">
        <v>260.34100068200144</v>
      </c>
      <c r="H110" s="177">
        <v>238.9</v>
      </c>
      <c r="I110" s="177">
        <v>411.8</v>
      </c>
      <c r="J110" s="178">
        <v>44.25</v>
      </c>
      <c r="K110" s="178">
        <v>63.45</v>
      </c>
      <c r="L110" s="404">
        <f>VLOOKUP($A110,'Master Data'!$A$3:$AP$151,42,1)</f>
        <v>207.78</v>
      </c>
      <c r="M110" s="405">
        <f>VLOOKUP($A110,'Master Data'!$A$3:$AP$151,41,1)</f>
        <v>40.94676772543726</v>
      </c>
      <c r="N110" s="178">
        <v>1.188</v>
      </c>
      <c r="O110" s="178">
        <v>0.819</v>
      </c>
      <c r="P110" s="303">
        <v>2</v>
      </c>
      <c r="Q110" s="303">
        <v>1</v>
      </c>
      <c r="R110" s="179">
        <f>IF(E110&lt;1.1,'Proposed Spec Lines'!D$3+'Proposed Spec Lines'!D$4*'Spec Analysis_ScreenSize'!E110+'Proposed Spec Lines'!D$5*'Spec Analysis_ScreenSize'!G110,'Proposed Spec Lines'!C$3+'Proposed Spec Lines'!C$4*'Spec Analysis_ScreenSize'!E110+'Proposed Spec Lines'!C$5*'Spec Analysis_ScreenSize'!G110)</f>
        <v>36.75305003410007</v>
      </c>
      <c r="S110" s="180">
        <f t="shared" si="30"/>
        <v>0</v>
      </c>
      <c r="T110" s="180">
        <f t="shared" si="20"/>
        <v>0</v>
      </c>
      <c r="U110" s="212">
        <f t="shared" si="21"/>
        <v>40.94676772543726</v>
      </c>
      <c r="V110" s="212">
        <f t="shared" si="22"/>
        <v>36.75305003410007</v>
      </c>
      <c r="W110" s="13">
        <f t="shared" si="23"/>
        <v>1.188</v>
      </c>
      <c r="X110" s="13">
        <f t="shared" si="24"/>
        <v>1.188</v>
      </c>
      <c r="Y110" s="13">
        <f t="shared" si="25"/>
        <v>0.819</v>
      </c>
      <c r="Z110" s="13">
        <f t="shared" si="26"/>
        <v>0.819</v>
      </c>
      <c r="AB110" s="240">
        <f t="shared" si="28"/>
        <v>0.48567265662943176</v>
      </c>
    </row>
    <row r="111" spans="1:28" ht="12.75">
      <c r="A111" s="173">
        <v>17</v>
      </c>
      <c r="B111" s="173" t="s">
        <v>30</v>
      </c>
      <c r="C111" s="189" t="s">
        <v>16</v>
      </c>
      <c r="D111" s="189">
        <f t="shared" si="31"/>
        <v>2304000</v>
      </c>
      <c r="E111" s="175">
        <f t="shared" si="29"/>
        <v>2.304</v>
      </c>
      <c r="F111" s="176">
        <v>24.1</v>
      </c>
      <c r="G111" s="37">
        <v>260.4316</v>
      </c>
      <c r="H111" s="187">
        <v>175</v>
      </c>
      <c r="I111" s="187">
        <v>191.5</v>
      </c>
      <c r="J111" s="188">
        <v>59.8</v>
      </c>
      <c r="K111" s="188">
        <v>61.9</v>
      </c>
      <c r="L111" s="404">
        <f>VLOOKUP($A111,'Master Data'!$A$3:$AP$151,42,1)</f>
        <v>169.1</v>
      </c>
      <c r="M111" s="405">
        <f>VLOOKUP($A111,'Master Data'!$A$3:$AP$151,41,1)</f>
        <v>56.76031429332017</v>
      </c>
      <c r="N111" s="188">
        <v>1.6</v>
      </c>
      <c r="O111" s="188">
        <v>0.77</v>
      </c>
      <c r="P111" s="303">
        <v>2</v>
      </c>
      <c r="Q111" s="303">
        <v>1</v>
      </c>
      <c r="R111" s="179">
        <f>IF(E111&lt;1.1,'Proposed Spec Lines'!D$3+'Proposed Spec Lines'!D$4*'Spec Analysis_ScreenSize'!E111+'Proposed Spec Lines'!D$5*'Spec Analysis_ScreenSize'!G111,'Proposed Spec Lines'!C$3+'Proposed Spec Lines'!C$4*'Spec Analysis_ScreenSize'!E111+'Proposed Spec Lines'!C$5*'Spec Analysis_ScreenSize'!G111)</f>
        <v>36.75758</v>
      </c>
      <c r="S111" s="180">
        <f t="shared" si="30"/>
        <v>0</v>
      </c>
      <c r="T111" s="180">
        <f t="shared" si="20"/>
        <v>0</v>
      </c>
      <c r="U111" s="212">
        <f t="shared" si="21"/>
        <v>56.76031429332017</v>
      </c>
      <c r="V111" s="212">
        <f t="shared" si="22"/>
        <v>36.75758</v>
      </c>
      <c r="W111" s="13">
        <f t="shared" si="23"/>
        <v>1.6</v>
      </c>
      <c r="X111" s="13">
        <f t="shared" si="24"/>
        <v>1.6</v>
      </c>
      <c r="Y111" s="13">
        <f t="shared" si="25"/>
        <v>0.77</v>
      </c>
      <c r="Z111" s="13">
        <f t="shared" si="26"/>
        <v>0.77</v>
      </c>
      <c r="AB111" s="240">
        <f t="shared" si="28"/>
        <v>1.0443864229765014</v>
      </c>
    </row>
    <row r="112" spans="1:28" ht="12.75">
      <c r="A112" s="181">
        <v>20</v>
      </c>
      <c r="B112" s="173" t="s">
        <v>30</v>
      </c>
      <c r="C112" s="189" t="s">
        <v>1</v>
      </c>
      <c r="D112" s="189">
        <f t="shared" si="31"/>
        <v>2304000</v>
      </c>
      <c r="E112" s="175">
        <f t="shared" si="29"/>
        <v>2.304</v>
      </c>
      <c r="F112" s="176">
        <v>24.1</v>
      </c>
      <c r="G112" s="37">
        <v>261.45210000000003</v>
      </c>
      <c r="H112" s="187">
        <v>175</v>
      </c>
      <c r="I112" s="187">
        <v>312.7</v>
      </c>
      <c r="J112" s="188">
        <v>45.01</v>
      </c>
      <c r="K112" s="188">
        <v>68.7</v>
      </c>
      <c r="L112" s="404">
        <f>VLOOKUP($A112,'Master Data'!$A$3:$AP$151,42,1)</f>
        <v>173.002</v>
      </c>
      <c r="M112" s="405">
        <f>VLOOKUP($A112,'Master Data'!$A$3:$AP$151,41,1)</f>
        <v>44.105717824986876</v>
      </c>
      <c r="N112" s="188">
        <v>1.05</v>
      </c>
      <c r="O112" s="188">
        <v>0.8</v>
      </c>
      <c r="P112" s="303">
        <v>2</v>
      </c>
      <c r="Q112" s="303">
        <v>1</v>
      </c>
      <c r="R112" s="179">
        <f>IF(E112&lt;1.1,'Proposed Spec Lines'!D$3+'Proposed Spec Lines'!D$4*'Spec Analysis_ScreenSize'!E112+'Proposed Spec Lines'!D$5*'Spec Analysis_ScreenSize'!G112,'Proposed Spec Lines'!C$3+'Proposed Spec Lines'!C$4*'Spec Analysis_ScreenSize'!E112+'Proposed Spec Lines'!C$5*'Spec Analysis_ScreenSize'!G112)</f>
        <v>36.808605</v>
      </c>
      <c r="S112" s="180">
        <f t="shared" si="30"/>
        <v>0</v>
      </c>
      <c r="T112" s="180">
        <f t="shared" si="20"/>
        <v>0</v>
      </c>
      <c r="U112" s="212">
        <f t="shared" si="21"/>
        <v>44.105717824986876</v>
      </c>
      <c r="V112" s="212">
        <f t="shared" si="22"/>
        <v>36.808605</v>
      </c>
      <c r="W112" s="13">
        <f t="shared" si="23"/>
        <v>1.05</v>
      </c>
      <c r="X112" s="13">
        <f t="shared" si="24"/>
        <v>1.05</v>
      </c>
      <c r="Y112" s="13">
        <f t="shared" si="25"/>
        <v>0.8</v>
      </c>
      <c r="Z112" s="13">
        <f t="shared" si="26"/>
        <v>0.8</v>
      </c>
      <c r="AB112" s="240">
        <f t="shared" si="28"/>
        <v>0.6395906619763352</v>
      </c>
    </row>
    <row r="113" spans="1:28" ht="12.75">
      <c r="A113" s="173">
        <v>21</v>
      </c>
      <c r="B113" s="173" t="s">
        <v>30</v>
      </c>
      <c r="C113" s="189" t="s">
        <v>1</v>
      </c>
      <c r="D113" s="189">
        <f t="shared" si="31"/>
        <v>2304000</v>
      </c>
      <c r="E113" s="175">
        <f t="shared" si="29"/>
        <v>2.304</v>
      </c>
      <c r="F113" s="176">
        <v>24.1</v>
      </c>
      <c r="G113" s="37">
        <v>260.4316</v>
      </c>
      <c r="H113" s="187">
        <v>175</v>
      </c>
      <c r="I113" s="187">
        <v>362.8</v>
      </c>
      <c r="J113" s="188">
        <v>43.3</v>
      </c>
      <c r="K113" s="188">
        <v>69.3</v>
      </c>
      <c r="L113" s="404">
        <f>VLOOKUP($A113,'Master Data'!$A$3:$AP$151,42,1)</f>
        <v>175.034</v>
      </c>
      <c r="M113" s="405">
        <f>VLOOKUP($A113,'Master Data'!$A$3:$AP$151,41,1)</f>
        <v>42.153347344895934</v>
      </c>
      <c r="N113" s="188">
        <v>1.73</v>
      </c>
      <c r="O113" s="188">
        <v>0.85</v>
      </c>
      <c r="P113" s="303">
        <v>2</v>
      </c>
      <c r="Q113" s="303">
        <v>1</v>
      </c>
      <c r="R113" s="179">
        <f>IF(E113&lt;1.1,'Proposed Spec Lines'!D$3+'Proposed Spec Lines'!D$4*'Spec Analysis_ScreenSize'!E113+'Proposed Spec Lines'!D$5*'Spec Analysis_ScreenSize'!G113,'Proposed Spec Lines'!C$3+'Proposed Spec Lines'!C$4*'Spec Analysis_ScreenSize'!E113+'Proposed Spec Lines'!C$5*'Spec Analysis_ScreenSize'!G113)</f>
        <v>36.75758</v>
      </c>
      <c r="S113" s="180">
        <f t="shared" si="30"/>
        <v>0</v>
      </c>
      <c r="T113" s="180">
        <f t="shared" si="20"/>
        <v>0</v>
      </c>
      <c r="U113" s="212">
        <f t="shared" si="21"/>
        <v>42.153347344895934</v>
      </c>
      <c r="V113" s="212">
        <f t="shared" si="22"/>
        <v>36.75758</v>
      </c>
      <c r="W113" s="13">
        <f t="shared" si="23"/>
        <v>1.73</v>
      </c>
      <c r="X113" s="13">
        <f t="shared" si="24"/>
        <v>1.73</v>
      </c>
      <c r="Y113" s="13">
        <f t="shared" si="25"/>
        <v>0.85</v>
      </c>
      <c r="Z113" s="13">
        <f t="shared" si="26"/>
        <v>0.85</v>
      </c>
      <c r="AB113" s="240">
        <f t="shared" si="28"/>
        <v>0.5512679162072767</v>
      </c>
    </row>
    <row r="114" spans="1:28" ht="12.75">
      <c r="A114" s="185">
        <v>119</v>
      </c>
      <c r="B114" s="173" t="s">
        <v>30</v>
      </c>
      <c r="C114" s="198" t="s">
        <v>11</v>
      </c>
      <c r="D114" s="198">
        <f t="shared" si="31"/>
        <v>2304000</v>
      </c>
      <c r="E114" s="175">
        <f t="shared" si="29"/>
        <v>2.304</v>
      </c>
      <c r="F114" s="176">
        <v>25.54</v>
      </c>
      <c r="G114" s="37">
        <v>293.13271746543495</v>
      </c>
      <c r="H114" s="199">
        <v>175</v>
      </c>
      <c r="I114" s="199">
        <v>360</v>
      </c>
      <c r="J114" s="200">
        <v>45.9</v>
      </c>
      <c r="K114" s="200">
        <v>84.5</v>
      </c>
      <c r="L114" s="404">
        <f>VLOOKUP($A114,'Master Data'!$A$3:$AP$151,42,1)</f>
        <v>200</v>
      </c>
      <c r="M114" s="405">
        <f>VLOOKUP($A114,'Master Data'!$A$3:$AP$151,41,1)</f>
        <v>55.24772930648769</v>
      </c>
      <c r="N114" s="200">
        <v>0.55</v>
      </c>
      <c r="O114" s="200">
        <v>0.27</v>
      </c>
      <c r="P114" s="303">
        <v>2</v>
      </c>
      <c r="Q114" s="303">
        <v>1</v>
      </c>
      <c r="R114" s="179">
        <f>IF(E114&lt;1.1,'Proposed Spec Lines'!D$3+'Proposed Spec Lines'!D$4*'Spec Analysis_ScreenSize'!E114+'Proposed Spec Lines'!D$5*'Spec Analysis_ScreenSize'!G114,'Proposed Spec Lines'!C$3+'Proposed Spec Lines'!C$4*'Spec Analysis_ScreenSize'!E114+'Proposed Spec Lines'!C$5*'Spec Analysis_ScreenSize'!G114)</f>
        <v>38.39263587327174</v>
      </c>
      <c r="S114" s="180">
        <f t="shared" si="30"/>
        <v>0</v>
      </c>
      <c r="T114" s="180">
        <f t="shared" si="20"/>
        <v>0</v>
      </c>
      <c r="U114" s="212">
        <f t="shared" si="21"/>
        <v>55.24772930648769</v>
      </c>
      <c r="V114" s="212">
        <f t="shared" si="22"/>
        <v>38.39263587327174</v>
      </c>
      <c r="W114" s="13">
        <f t="shared" si="23"/>
        <v>0.55</v>
      </c>
      <c r="X114" s="13">
        <f t="shared" si="24"/>
        <v>0.55</v>
      </c>
      <c r="Y114" s="13">
        <f t="shared" si="25"/>
        <v>0.27</v>
      </c>
      <c r="Z114" s="13">
        <f t="shared" si="26"/>
        <v>0.27</v>
      </c>
      <c r="AB114" s="240">
        <f t="shared" si="28"/>
        <v>0.5555555555555556</v>
      </c>
    </row>
    <row r="115" spans="1:28" ht="12.75">
      <c r="A115" s="173">
        <v>138</v>
      </c>
      <c r="B115" s="173" t="s">
        <v>30</v>
      </c>
      <c r="C115" s="195" t="s">
        <v>11</v>
      </c>
      <c r="D115" s="195">
        <f t="shared" si="31"/>
        <v>2304000</v>
      </c>
      <c r="E115" s="175">
        <f t="shared" si="29"/>
        <v>2.304</v>
      </c>
      <c r="F115" s="176">
        <v>25.54</v>
      </c>
      <c r="G115" s="37">
        <v>293.13271746543495</v>
      </c>
      <c r="H115" s="196">
        <v>175</v>
      </c>
      <c r="I115" s="196">
        <v>360</v>
      </c>
      <c r="J115" s="197">
        <v>45.9</v>
      </c>
      <c r="K115" s="197">
        <v>84.5</v>
      </c>
      <c r="L115" s="404">
        <f>VLOOKUP($A115,'Master Data'!$A$3:$AP$151,42,1)</f>
        <v>169</v>
      </c>
      <c r="M115" s="405">
        <f>VLOOKUP($A115,'Master Data'!$A$3:$AP$151,41,1)</f>
        <v>51.398183445190156</v>
      </c>
      <c r="N115" s="197">
        <v>0.55</v>
      </c>
      <c r="O115" s="197">
        <v>0.27</v>
      </c>
      <c r="P115" s="303">
        <v>2</v>
      </c>
      <c r="Q115" s="303">
        <v>1</v>
      </c>
      <c r="R115" s="179">
        <f>IF(E115&lt;1.1,'Proposed Spec Lines'!D$3+'Proposed Spec Lines'!D$4*'Spec Analysis_ScreenSize'!E115+'Proposed Spec Lines'!D$5*'Spec Analysis_ScreenSize'!G115,'Proposed Spec Lines'!C$3+'Proposed Spec Lines'!C$4*'Spec Analysis_ScreenSize'!E115+'Proposed Spec Lines'!C$5*'Spec Analysis_ScreenSize'!G115)</f>
        <v>38.39263587327174</v>
      </c>
      <c r="S115" s="180">
        <f t="shared" si="30"/>
        <v>0</v>
      </c>
      <c r="T115" s="180">
        <f t="shared" si="20"/>
        <v>0</v>
      </c>
      <c r="U115" s="212">
        <f t="shared" si="21"/>
        <v>51.398183445190156</v>
      </c>
      <c r="V115" s="212">
        <f t="shared" si="22"/>
        <v>38.39263587327174</v>
      </c>
      <c r="W115" s="13">
        <f t="shared" si="23"/>
        <v>0.55</v>
      </c>
      <c r="X115" s="13">
        <f t="shared" si="24"/>
        <v>0.55</v>
      </c>
      <c r="Y115" s="13">
        <f t="shared" si="25"/>
        <v>0.27</v>
      </c>
      <c r="Z115" s="13">
        <f t="shared" si="26"/>
        <v>0.27</v>
      </c>
      <c r="AB115" s="240">
        <f t="shared" si="28"/>
        <v>0.5555555555555556</v>
      </c>
    </row>
    <row r="116" spans="1:28" ht="12.75">
      <c r="A116" s="209">
        <v>83</v>
      </c>
      <c r="B116" s="173" t="s">
        <v>30</v>
      </c>
      <c r="C116" s="190" t="s">
        <v>1</v>
      </c>
      <c r="D116" s="190">
        <f t="shared" si="31"/>
        <v>2304000</v>
      </c>
      <c r="E116" s="175">
        <f t="shared" si="29"/>
        <v>2.304</v>
      </c>
      <c r="F116" s="176">
        <v>26</v>
      </c>
      <c r="G116" s="37">
        <v>416.61675348914355</v>
      </c>
      <c r="H116" s="191">
        <v>177</v>
      </c>
      <c r="I116" s="191">
        <v>301</v>
      </c>
      <c r="J116" s="192">
        <v>32.1</v>
      </c>
      <c r="K116" s="192">
        <v>44.5</v>
      </c>
      <c r="L116" s="404">
        <f>VLOOKUP($A116,'Master Data'!$A$3:$AP$151,42,1)</f>
        <v>200</v>
      </c>
      <c r="M116" s="405">
        <f>VLOOKUP($A116,'Master Data'!$A$3:$AP$151,41,1)</f>
        <v>35.25</v>
      </c>
      <c r="N116" s="192">
        <v>1.15</v>
      </c>
      <c r="O116" s="192">
        <v>0.38</v>
      </c>
      <c r="P116" s="303">
        <v>2</v>
      </c>
      <c r="Q116" s="303">
        <v>1</v>
      </c>
      <c r="R116" s="179">
        <f>IF(E116&lt;1.1,'Proposed Spec Lines'!D$3+'Proposed Spec Lines'!D$4*'Spec Analysis_ScreenSize'!E116+'Proposed Spec Lines'!D$5*'Spec Analysis_ScreenSize'!G116,'Proposed Spec Lines'!C$3+'Proposed Spec Lines'!C$4*'Spec Analysis_ScreenSize'!E116+'Proposed Spec Lines'!C$5*'Spec Analysis_ScreenSize'!G116)</f>
        <v>44.566837674457176</v>
      </c>
      <c r="S116" s="180">
        <f t="shared" si="30"/>
        <v>1</v>
      </c>
      <c r="T116" s="180">
        <f t="shared" si="20"/>
        <v>1</v>
      </c>
      <c r="U116" s="212">
        <f t="shared" si="21"/>
        <v>35.25</v>
      </c>
      <c r="V116" s="212">
        <f t="shared" si="22"/>
        <v>35.25</v>
      </c>
      <c r="W116" s="13">
        <f t="shared" si="23"/>
        <v>1.15</v>
      </c>
      <c r="X116" s="13">
        <f t="shared" si="24"/>
        <v>1.15</v>
      </c>
      <c r="Y116" s="13">
        <f t="shared" si="25"/>
        <v>0.38</v>
      </c>
      <c r="Z116" s="13">
        <f t="shared" si="26"/>
        <v>0.38</v>
      </c>
      <c r="AB116" s="240">
        <f t="shared" si="28"/>
        <v>0.6644518272425249</v>
      </c>
    </row>
    <row r="117" spans="1:28" ht="12.75">
      <c r="A117" s="173">
        <v>85</v>
      </c>
      <c r="B117" s="173" t="s">
        <v>30</v>
      </c>
      <c r="C117" s="190" t="s">
        <v>1</v>
      </c>
      <c r="D117" s="190">
        <f t="shared" si="31"/>
        <v>2304000</v>
      </c>
      <c r="E117" s="175">
        <f t="shared" si="29"/>
        <v>2.304</v>
      </c>
      <c r="F117" s="176">
        <v>26</v>
      </c>
      <c r="G117" s="37">
        <v>416.61675348914355</v>
      </c>
      <c r="H117" s="191">
        <v>177</v>
      </c>
      <c r="I117" s="191">
        <v>468</v>
      </c>
      <c r="J117" s="192">
        <v>48.8</v>
      </c>
      <c r="K117" s="192">
        <v>87.8</v>
      </c>
      <c r="L117" s="404">
        <f>VLOOKUP($A117,'Master Data'!$A$3:$AP$151,42,1)</f>
        <v>200</v>
      </c>
      <c r="M117" s="405">
        <f>VLOOKUP($A117,'Master Data'!$A$3:$AP$151,41,1)</f>
        <v>54.651165944787145</v>
      </c>
      <c r="N117" s="192">
        <v>1.08</v>
      </c>
      <c r="O117" s="192">
        <v>0.91</v>
      </c>
      <c r="P117" s="303">
        <v>2</v>
      </c>
      <c r="Q117" s="303">
        <v>1</v>
      </c>
      <c r="R117" s="179">
        <f>IF(E117&lt;1.1,'Proposed Spec Lines'!D$3+'Proposed Spec Lines'!D$4*'Spec Analysis_ScreenSize'!E117+'Proposed Spec Lines'!D$5*'Spec Analysis_ScreenSize'!G117,'Proposed Spec Lines'!C$3+'Proposed Spec Lines'!C$4*'Spec Analysis_ScreenSize'!E117+'Proposed Spec Lines'!C$5*'Spec Analysis_ScreenSize'!G117)</f>
        <v>44.566837674457176</v>
      </c>
      <c r="S117" s="180">
        <f t="shared" si="30"/>
        <v>0</v>
      </c>
      <c r="T117" s="180">
        <f t="shared" si="20"/>
        <v>0</v>
      </c>
      <c r="U117" s="212">
        <f t="shared" si="21"/>
        <v>54.651165944787145</v>
      </c>
      <c r="V117" s="212">
        <f t="shared" si="22"/>
        <v>44.566837674457176</v>
      </c>
      <c r="W117" s="13">
        <f t="shared" si="23"/>
        <v>1.08</v>
      </c>
      <c r="X117" s="13">
        <f t="shared" si="24"/>
        <v>1.08</v>
      </c>
      <c r="Y117" s="13">
        <f t="shared" si="25"/>
        <v>0.91</v>
      </c>
      <c r="Z117" s="13">
        <f t="shared" si="26"/>
        <v>0.91</v>
      </c>
      <c r="AB117" s="240">
        <f t="shared" si="28"/>
        <v>0.42735042735042733</v>
      </c>
    </row>
    <row r="118" spans="1:28" ht="12.75">
      <c r="A118" s="173">
        <v>16</v>
      </c>
      <c r="B118" s="173" t="s">
        <v>30</v>
      </c>
      <c r="C118" s="182" t="s">
        <v>1</v>
      </c>
      <c r="D118" s="182">
        <f t="shared" si="31"/>
        <v>2304000</v>
      </c>
      <c r="E118" s="175">
        <f t="shared" si="29"/>
        <v>2.304</v>
      </c>
      <c r="F118" s="176">
        <v>27</v>
      </c>
      <c r="G118" s="37">
        <v>327.47</v>
      </c>
      <c r="H118" s="183">
        <v>175</v>
      </c>
      <c r="I118" s="183">
        <v>365</v>
      </c>
      <c r="J118" s="184">
        <v>66.5</v>
      </c>
      <c r="K118" s="184">
        <v>94.2</v>
      </c>
      <c r="L118" s="404">
        <f>VLOOKUP($A118,'Master Data'!$A$3:$AP$151,42,1)</f>
        <v>183.6</v>
      </c>
      <c r="M118" s="405">
        <f>VLOOKUP($A118,'Master Data'!$A$3:$AP$151,41,1)</f>
        <v>63.6158856922929</v>
      </c>
      <c r="N118" s="184">
        <v>1.4</v>
      </c>
      <c r="O118" s="184">
        <v>0.7</v>
      </c>
      <c r="P118" s="303">
        <v>2</v>
      </c>
      <c r="Q118" s="303">
        <v>1</v>
      </c>
      <c r="R118" s="179">
        <f>IF(E118&lt;1.1,'Proposed Spec Lines'!D$3+'Proposed Spec Lines'!D$4*'Spec Analysis_ScreenSize'!E118+'Proposed Spec Lines'!D$5*'Spec Analysis_ScreenSize'!G118,'Proposed Spec Lines'!C$3+'Proposed Spec Lines'!C$4*'Spec Analysis_ScreenSize'!E118+'Proposed Spec Lines'!C$5*'Spec Analysis_ScreenSize'!G118)</f>
        <v>40.1095</v>
      </c>
      <c r="S118" s="180">
        <f t="shared" si="30"/>
        <v>0</v>
      </c>
      <c r="T118" s="180">
        <f t="shared" si="20"/>
        <v>0</v>
      </c>
      <c r="U118" s="212">
        <f t="shared" si="21"/>
        <v>63.6158856922929</v>
      </c>
      <c r="V118" s="212">
        <f t="shared" si="22"/>
        <v>40.1095</v>
      </c>
      <c r="W118" s="13">
        <f t="shared" si="23"/>
        <v>1.4</v>
      </c>
      <c r="X118" s="13">
        <f t="shared" si="24"/>
        <v>1.4</v>
      </c>
      <c r="Y118" s="13">
        <f t="shared" si="25"/>
        <v>0.7</v>
      </c>
      <c r="Z118" s="13">
        <f t="shared" si="26"/>
        <v>0.7</v>
      </c>
      <c r="AB118" s="240">
        <f t="shared" si="28"/>
        <v>0.547945205479452</v>
      </c>
    </row>
    <row r="119" spans="1:29" ht="12.75">
      <c r="A119" s="173">
        <v>105</v>
      </c>
      <c r="B119" s="173" t="s">
        <v>30</v>
      </c>
      <c r="C119" s="202" t="s">
        <v>1</v>
      </c>
      <c r="D119" s="202">
        <f t="shared" si="31"/>
        <v>2304000</v>
      </c>
      <c r="E119" s="175">
        <f t="shared" si="29"/>
        <v>2.304</v>
      </c>
      <c r="F119" s="176">
        <v>27</v>
      </c>
      <c r="G119" s="37">
        <v>327.47</v>
      </c>
      <c r="H119" s="203">
        <v>175</v>
      </c>
      <c r="I119" s="203">
        <v>440</v>
      </c>
      <c r="J119" s="204">
        <v>54.8</v>
      </c>
      <c r="K119" s="204">
        <v>118</v>
      </c>
      <c r="L119" s="404">
        <f>VLOOKUP($A119,'Master Data'!$A$3:$AP$151,42,1)</f>
        <v>200</v>
      </c>
      <c r="M119" s="405">
        <f>VLOOKUP($A119,'Master Data'!$A$3:$AP$151,41,1)</f>
        <v>67.97898506721903</v>
      </c>
      <c r="N119" s="204">
        <v>1.65</v>
      </c>
      <c r="O119" s="204">
        <v>0.66</v>
      </c>
      <c r="P119" s="303">
        <v>2</v>
      </c>
      <c r="Q119" s="303">
        <v>1</v>
      </c>
      <c r="R119" s="179">
        <f>IF(E119&lt;1.1,'Proposed Spec Lines'!D$3+'Proposed Spec Lines'!D$4*'Spec Analysis_ScreenSize'!E119+'Proposed Spec Lines'!D$5*'Spec Analysis_ScreenSize'!G119,'Proposed Spec Lines'!C$3+'Proposed Spec Lines'!C$4*'Spec Analysis_ScreenSize'!E119+'Proposed Spec Lines'!C$5*'Spec Analysis_ScreenSize'!G119)</f>
        <v>40.1095</v>
      </c>
      <c r="S119" s="180">
        <f t="shared" si="30"/>
        <v>0</v>
      </c>
      <c r="T119" s="180">
        <f t="shared" si="20"/>
        <v>0</v>
      </c>
      <c r="U119" s="212">
        <f t="shared" si="21"/>
        <v>67.97898506721903</v>
      </c>
      <c r="V119" s="212">
        <f t="shared" si="22"/>
        <v>40.1095</v>
      </c>
      <c r="W119" s="13">
        <f t="shared" si="23"/>
        <v>1.65</v>
      </c>
      <c r="X119" s="13">
        <f t="shared" si="24"/>
        <v>1.65</v>
      </c>
      <c r="Y119" s="13">
        <f t="shared" si="25"/>
        <v>0.66</v>
      </c>
      <c r="Z119" s="13">
        <f t="shared" si="26"/>
        <v>0.66</v>
      </c>
      <c r="AB119" s="240">
        <f t="shared" si="28"/>
        <v>0.45454545454545453</v>
      </c>
      <c r="AC119" s="13"/>
    </row>
    <row r="120" spans="1:28" ht="12.75">
      <c r="A120" s="51">
        <v>55</v>
      </c>
      <c r="B120" s="52" t="s">
        <v>32</v>
      </c>
      <c r="C120" s="53" t="s">
        <v>24</v>
      </c>
      <c r="D120" s="53">
        <f>1366*768</f>
        <v>1049088</v>
      </c>
      <c r="E120" s="54">
        <f t="shared" si="29"/>
        <v>1.049088</v>
      </c>
      <c r="F120" s="55">
        <v>31.5</v>
      </c>
      <c r="G120" s="56">
        <v>529.23</v>
      </c>
      <c r="H120" s="53">
        <v>175</v>
      </c>
      <c r="I120" s="55">
        <v>394</v>
      </c>
      <c r="J120" s="57">
        <v>61.9</v>
      </c>
      <c r="K120" s="57">
        <v>92.6</v>
      </c>
      <c r="L120" s="398">
        <f>VLOOKUP($A120,'Master Data'!$A$3:$AP$151,42,1)</f>
        <v>350</v>
      </c>
      <c r="M120" s="399">
        <f>VLOOKUP($A120,'Master Data'!$A$3:$AP$151,41,1)</f>
        <v>87.71189216653218</v>
      </c>
      <c r="N120" s="57">
        <v>2.63</v>
      </c>
      <c r="O120" s="57">
        <v>2.55</v>
      </c>
      <c r="P120" s="299">
        <v>4</v>
      </c>
      <c r="Q120" s="299">
        <v>2</v>
      </c>
      <c r="R120" s="58">
        <f>'Proposed Spec Lines'!E$3+'Proposed Spec Lines'!E$4*'Spec Analysis_ScreenSize'!E120+'Proposed Spec Lines'!E$5*'Spec Analysis_ScreenSize'!G120</f>
        <v>104.22568</v>
      </c>
      <c r="S120" s="70">
        <f t="shared" si="30"/>
        <v>1</v>
      </c>
      <c r="T120" s="70">
        <f t="shared" si="20"/>
        <v>0</v>
      </c>
      <c r="U120" s="212">
        <f t="shared" si="21"/>
        <v>87.71189216653218</v>
      </c>
      <c r="V120" s="212">
        <f t="shared" si="22"/>
        <v>87.71189216653218</v>
      </c>
      <c r="W120" s="13">
        <f t="shared" si="23"/>
        <v>2.63</v>
      </c>
      <c r="X120" s="13">
        <f t="shared" si="24"/>
        <v>2</v>
      </c>
      <c r="Y120" s="13">
        <f t="shared" si="25"/>
        <v>2.55</v>
      </c>
      <c r="Z120" s="13">
        <f t="shared" si="26"/>
        <v>1</v>
      </c>
      <c r="AB120" s="240">
        <f>350/I120</f>
        <v>0.8883248730964467</v>
      </c>
    </row>
    <row r="121" spans="1:28" ht="12.75">
      <c r="A121" s="59">
        <v>77</v>
      </c>
      <c r="B121" s="52" t="s">
        <v>32</v>
      </c>
      <c r="C121" s="60" t="s">
        <v>18</v>
      </c>
      <c r="D121" s="60">
        <f>1360*768</f>
        <v>1044480</v>
      </c>
      <c r="E121" s="54">
        <f t="shared" si="29"/>
        <v>1.04448</v>
      </c>
      <c r="F121" s="61">
        <v>32</v>
      </c>
      <c r="G121" s="56">
        <v>777.8753709198813</v>
      </c>
      <c r="H121" s="60">
        <v>175</v>
      </c>
      <c r="I121" s="61">
        <v>388</v>
      </c>
      <c r="J121" s="62">
        <v>74</v>
      </c>
      <c r="K121" s="62">
        <v>129</v>
      </c>
      <c r="L121" s="398">
        <f>VLOOKUP($A121,'Master Data'!$A$3:$AP$151,42,1)</f>
        <v>350</v>
      </c>
      <c r="M121" s="399">
        <f>VLOOKUP($A121,'Master Data'!$A$3:$AP$151,41,1)</f>
        <v>119.07230055505649</v>
      </c>
      <c r="N121" s="62">
        <v>0.95</v>
      </c>
      <c r="O121" s="62">
        <v>0.95</v>
      </c>
      <c r="P121" s="299">
        <v>4</v>
      </c>
      <c r="Q121" s="299">
        <v>2</v>
      </c>
      <c r="R121" s="58">
        <f>'Proposed Spec Lines'!E$3+'Proposed Spec Lines'!E$4*'Spec Analysis_ScreenSize'!E121+'Proposed Spec Lines'!E$5*'Spec Analysis_ScreenSize'!G121</f>
        <v>133.90184451038576</v>
      </c>
      <c r="S121" s="70">
        <f t="shared" si="30"/>
        <v>1</v>
      </c>
      <c r="T121" s="70">
        <f t="shared" si="20"/>
        <v>1</v>
      </c>
      <c r="U121" s="212">
        <f t="shared" si="21"/>
        <v>119.07230055505649</v>
      </c>
      <c r="V121" s="212">
        <f t="shared" si="22"/>
        <v>119.07230055505649</v>
      </c>
      <c r="W121" s="13">
        <f t="shared" si="23"/>
        <v>0.95</v>
      </c>
      <c r="X121" s="13">
        <f t="shared" si="24"/>
        <v>0.95</v>
      </c>
      <c r="Y121" s="13">
        <f t="shared" si="25"/>
        <v>0.95</v>
      </c>
      <c r="Z121" s="13">
        <f t="shared" si="26"/>
        <v>0.95</v>
      </c>
      <c r="AB121" s="240">
        <f aca="true" t="shared" si="32" ref="AB121:AB142">350/I121</f>
        <v>0.9020618556701031</v>
      </c>
    </row>
    <row r="122" spans="1:28" ht="12.75">
      <c r="A122" s="59">
        <v>56</v>
      </c>
      <c r="B122" s="52" t="s">
        <v>32</v>
      </c>
      <c r="C122" s="53" t="s">
        <v>24</v>
      </c>
      <c r="D122" s="53">
        <f>1366*768</f>
        <v>1049088</v>
      </c>
      <c r="E122" s="54">
        <f t="shared" si="29"/>
        <v>1.049088</v>
      </c>
      <c r="F122" s="55">
        <v>40</v>
      </c>
      <c r="G122" s="56">
        <v>684.04</v>
      </c>
      <c r="H122" s="53">
        <v>175</v>
      </c>
      <c r="I122" s="55">
        <v>562</v>
      </c>
      <c r="J122" s="57">
        <v>88.1</v>
      </c>
      <c r="K122" s="57">
        <v>188.4</v>
      </c>
      <c r="L122" s="398">
        <f>VLOOKUP($A122,'Master Data'!$A$3:$AP$151,42,1)</f>
        <v>350</v>
      </c>
      <c r="M122" s="399">
        <f>VLOOKUP($A122,'Master Data'!$A$3:$AP$151,41,1)</f>
        <v>134.6616459329685</v>
      </c>
      <c r="N122" s="57">
        <v>3.2</v>
      </c>
      <c r="O122" s="57">
        <v>1.58</v>
      </c>
      <c r="P122" s="299">
        <v>4</v>
      </c>
      <c r="Q122" s="299">
        <v>2</v>
      </c>
      <c r="R122" s="58">
        <f>'Proposed Spec Lines'!E$3+'Proposed Spec Lines'!E$4*'Spec Analysis_ScreenSize'!E122+'Proposed Spec Lines'!E$5*'Spec Analysis_ScreenSize'!G122</f>
        <v>122.80287999999999</v>
      </c>
      <c r="S122" s="70">
        <f t="shared" si="30"/>
        <v>0</v>
      </c>
      <c r="T122" s="70">
        <f t="shared" si="20"/>
        <v>0</v>
      </c>
      <c r="U122" s="212">
        <f t="shared" si="21"/>
        <v>134.6616459329685</v>
      </c>
      <c r="V122" s="212">
        <f t="shared" si="22"/>
        <v>122.80287999999999</v>
      </c>
      <c r="W122" s="13">
        <f t="shared" si="23"/>
        <v>3.2</v>
      </c>
      <c r="X122" s="13">
        <f t="shared" si="24"/>
        <v>2</v>
      </c>
      <c r="Y122" s="13">
        <f t="shared" si="25"/>
        <v>1.58</v>
      </c>
      <c r="Z122" s="13">
        <f t="shared" si="26"/>
        <v>1</v>
      </c>
      <c r="AB122" s="240">
        <f t="shared" si="32"/>
        <v>0.6227758007117438</v>
      </c>
    </row>
    <row r="123" spans="1:28" ht="12.75">
      <c r="A123" s="59">
        <v>61</v>
      </c>
      <c r="B123" s="52" t="s">
        <v>32</v>
      </c>
      <c r="C123" s="53" t="s">
        <v>17</v>
      </c>
      <c r="D123" s="53">
        <f>1920*1080</f>
        <v>2073600</v>
      </c>
      <c r="E123" s="54">
        <f t="shared" si="29"/>
        <v>2.0736</v>
      </c>
      <c r="F123" s="55">
        <v>40</v>
      </c>
      <c r="G123" s="56">
        <v>684.04</v>
      </c>
      <c r="H123" s="53">
        <v>175</v>
      </c>
      <c r="I123" s="55">
        <v>345</v>
      </c>
      <c r="J123" s="57">
        <v>110.9</v>
      </c>
      <c r="K123" s="57">
        <v>174.4</v>
      </c>
      <c r="L123" s="398">
        <f>VLOOKUP($A123,'Master Data'!$A$3:$AP$151,42,1)</f>
        <v>350</v>
      </c>
      <c r="M123" s="399">
        <f>VLOOKUP($A123,'Master Data'!$A$3:$AP$151,41,1)</f>
        <v>178.35816052695782</v>
      </c>
      <c r="N123" s="57">
        <v>3.13</v>
      </c>
      <c r="O123" s="57">
        <v>1.57</v>
      </c>
      <c r="P123" s="299">
        <v>4</v>
      </c>
      <c r="Q123" s="299">
        <v>2</v>
      </c>
      <c r="R123" s="58">
        <f>'Proposed Spec Lines'!E$3+'Proposed Spec Lines'!E$4*'Spec Analysis_ScreenSize'!E123+'Proposed Spec Lines'!E$5*'Spec Analysis_ScreenSize'!G123</f>
        <v>158.6608</v>
      </c>
      <c r="S123" s="70">
        <f t="shared" si="30"/>
        <v>0</v>
      </c>
      <c r="T123" s="70">
        <f t="shared" si="20"/>
        <v>0</v>
      </c>
      <c r="U123" s="212">
        <f t="shared" si="21"/>
        <v>178.35816052695782</v>
      </c>
      <c r="V123" s="212">
        <f t="shared" si="22"/>
        <v>158.6608</v>
      </c>
      <c r="W123" s="13">
        <f t="shared" si="23"/>
        <v>3.13</v>
      </c>
      <c r="X123" s="13">
        <f t="shared" si="24"/>
        <v>2</v>
      </c>
      <c r="Y123" s="13">
        <f t="shared" si="25"/>
        <v>1.57</v>
      </c>
      <c r="Z123" s="13">
        <f t="shared" si="26"/>
        <v>1</v>
      </c>
      <c r="AB123" s="240">
        <f t="shared" si="32"/>
        <v>1.0144927536231885</v>
      </c>
    </row>
    <row r="124" spans="1:28" ht="12.75">
      <c r="A124" s="51">
        <v>63</v>
      </c>
      <c r="B124" s="52" t="s">
        <v>32</v>
      </c>
      <c r="C124" s="53" t="s">
        <v>14</v>
      </c>
      <c r="D124" s="53">
        <f>1024*768</f>
        <v>786432</v>
      </c>
      <c r="E124" s="54">
        <f t="shared" si="29"/>
        <v>0.786432</v>
      </c>
      <c r="F124" s="55">
        <v>42</v>
      </c>
      <c r="G124" s="56">
        <v>740.52</v>
      </c>
      <c r="H124" s="53">
        <v>81</v>
      </c>
      <c r="I124" s="55">
        <v>81</v>
      </c>
      <c r="J124" s="57">
        <v>292</v>
      </c>
      <c r="K124" s="57">
        <v>292</v>
      </c>
      <c r="L124" s="398">
        <f>VLOOKUP($A124,'Master Data'!$A$3:$AP$151,42,1)</f>
        <v>81</v>
      </c>
      <c r="M124" s="399">
        <f>VLOOKUP($A124,'Master Data'!$A$3:$AP$151,41,1)</f>
        <v>292</v>
      </c>
      <c r="N124" s="57">
        <v>1</v>
      </c>
      <c r="O124" s="57">
        <v>0.8</v>
      </c>
      <c r="P124" s="299">
        <v>4</v>
      </c>
      <c r="Q124" s="299">
        <v>2</v>
      </c>
      <c r="R124" s="58">
        <f>'Proposed Spec Lines'!E$3+'Proposed Spec Lines'!E$4*'Spec Analysis_ScreenSize'!E124+'Proposed Spec Lines'!E$5*'Spec Analysis_ScreenSize'!G124</f>
        <v>120.38752</v>
      </c>
      <c r="S124" s="70">
        <f t="shared" si="30"/>
        <v>0</v>
      </c>
      <c r="T124" s="70">
        <f t="shared" si="20"/>
        <v>0</v>
      </c>
      <c r="U124" s="212">
        <f t="shared" si="21"/>
        <v>292</v>
      </c>
      <c r="V124" s="212">
        <f t="shared" si="22"/>
        <v>120.38752</v>
      </c>
      <c r="W124" s="13">
        <f t="shared" si="23"/>
        <v>1</v>
      </c>
      <c r="X124" s="13">
        <f t="shared" si="24"/>
        <v>1</v>
      </c>
      <c r="Y124" s="13">
        <f t="shared" si="25"/>
        <v>0.8</v>
      </c>
      <c r="Z124" s="13">
        <f t="shared" si="26"/>
        <v>0.8</v>
      </c>
      <c r="AB124" s="240">
        <v>1</v>
      </c>
    </row>
    <row r="125" spans="1:28" ht="12.75">
      <c r="A125" s="59">
        <v>74</v>
      </c>
      <c r="B125" s="52" t="s">
        <v>32</v>
      </c>
      <c r="C125" s="60" t="s">
        <v>18</v>
      </c>
      <c r="D125" s="60">
        <f>1360*768</f>
        <v>1044480</v>
      </c>
      <c r="E125" s="54">
        <f t="shared" si="29"/>
        <v>1.04448</v>
      </c>
      <c r="F125" s="61">
        <v>46</v>
      </c>
      <c r="G125" s="56">
        <v>1607.406528189911</v>
      </c>
      <c r="H125" s="60">
        <v>178</v>
      </c>
      <c r="I125" s="61">
        <v>498</v>
      </c>
      <c r="J125" s="62">
        <v>132</v>
      </c>
      <c r="K125" s="62">
        <v>276</v>
      </c>
      <c r="L125" s="398">
        <f>VLOOKUP($A125,'Master Data'!$A$3:$AP$151,42,1)</f>
        <v>350</v>
      </c>
      <c r="M125" s="399">
        <f>VLOOKUP($A125,'Master Data'!$A$3:$AP$151,41,1)</f>
        <v>210.53151346099602</v>
      </c>
      <c r="N125" s="62">
        <v>0.78</v>
      </c>
      <c r="O125" s="62">
        <v>0.81</v>
      </c>
      <c r="P125" s="299">
        <v>4</v>
      </c>
      <c r="Q125" s="299">
        <v>2</v>
      </c>
      <c r="R125" s="58">
        <f>'Proposed Spec Lines'!E$3+'Proposed Spec Lines'!E$4*'Spec Analysis_ScreenSize'!E125+'Proposed Spec Lines'!E$5*'Spec Analysis_ScreenSize'!G125</f>
        <v>233.44558338278932</v>
      </c>
      <c r="S125" s="70">
        <f t="shared" si="30"/>
        <v>1</v>
      </c>
      <c r="T125" s="70">
        <f t="shared" si="20"/>
        <v>1</v>
      </c>
      <c r="U125" s="212">
        <f t="shared" si="21"/>
        <v>210.53151346099602</v>
      </c>
      <c r="V125" s="212">
        <f t="shared" si="22"/>
        <v>210.53151346099602</v>
      </c>
      <c r="W125" s="13">
        <f t="shared" si="23"/>
        <v>0.78</v>
      </c>
      <c r="X125" s="13">
        <f t="shared" si="24"/>
        <v>0.78</v>
      </c>
      <c r="Y125" s="13">
        <f t="shared" si="25"/>
        <v>0.81</v>
      </c>
      <c r="Z125" s="13">
        <f t="shared" si="26"/>
        <v>0.81</v>
      </c>
      <c r="AB125" s="240">
        <f t="shared" si="32"/>
        <v>0.7028112449799196</v>
      </c>
    </row>
    <row r="126" spans="1:28" ht="12.75">
      <c r="A126" s="59">
        <v>57</v>
      </c>
      <c r="B126" s="52" t="s">
        <v>32</v>
      </c>
      <c r="C126" s="53" t="s">
        <v>24</v>
      </c>
      <c r="D126" s="53">
        <f>1366*768</f>
        <v>1049088</v>
      </c>
      <c r="E126" s="54">
        <f t="shared" si="29"/>
        <v>1.049088</v>
      </c>
      <c r="F126" s="55">
        <v>46</v>
      </c>
      <c r="G126" s="56">
        <v>902.25</v>
      </c>
      <c r="H126" s="53">
        <v>175</v>
      </c>
      <c r="I126" s="55">
        <v>550</v>
      </c>
      <c r="J126" s="57">
        <v>94.4</v>
      </c>
      <c r="K126" s="57">
        <v>208.6</v>
      </c>
      <c r="L126" s="398">
        <f>VLOOKUP($A126,'Master Data'!$A$3:$AP$151,42,1)</f>
        <v>350</v>
      </c>
      <c r="M126" s="399">
        <f>VLOOKUP($A126,'Master Data'!$A$3:$AP$151,41,1)</f>
        <v>148.28467578457895</v>
      </c>
      <c r="N126" s="57">
        <v>3.19</v>
      </c>
      <c r="O126" s="57">
        <v>1.52</v>
      </c>
      <c r="P126" s="299">
        <v>4</v>
      </c>
      <c r="Q126" s="299">
        <v>2</v>
      </c>
      <c r="R126" s="58">
        <f>'Proposed Spec Lines'!E$3+'Proposed Spec Lines'!E$4*'Spec Analysis_ScreenSize'!E126+'Proposed Spec Lines'!E$5*'Spec Analysis_ScreenSize'!G126</f>
        <v>148.98808</v>
      </c>
      <c r="S126" s="70">
        <f t="shared" si="30"/>
        <v>1</v>
      </c>
      <c r="T126" s="70">
        <f t="shared" si="20"/>
        <v>1</v>
      </c>
      <c r="U126" s="212">
        <f t="shared" si="21"/>
        <v>148.28467578457895</v>
      </c>
      <c r="V126" s="212">
        <f t="shared" si="22"/>
        <v>148.28467578457895</v>
      </c>
      <c r="W126" s="13">
        <f t="shared" si="23"/>
        <v>3.19</v>
      </c>
      <c r="X126" s="13">
        <f t="shared" si="24"/>
        <v>2</v>
      </c>
      <c r="Y126" s="13">
        <f t="shared" si="25"/>
        <v>1.52</v>
      </c>
      <c r="Z126" s="13">
        <f t="shared" si="26"/>
        <v>1</v>
      </c>
      <c r="AB126" s="240">
        <f t="shared" si="32"/>
        <v>0.6363636363636364</v>
      </c>
    </row>
    <row r="127" spans="1:28" ht="12.75">
      <c r="A127" s="59">
        <v>49</v>
      </c>
      <c r="B127" s="52" t="s">
        <v>32</v>
      </c>
      <c r="C127" s="53" t="s">
        <v>17</v>
      </c>
      <c r="D127" s="53">
        <f>1920*1080</f>
        <v>2073600</v>
      </c>
      <c r="E127" s="54">
        <f t="shared" si="29"/>
        <v>2.0736</v>
      </c>
      <c r="F127" s="55">
        <v>46</v>
      </c>
      <c r="G127" s="56">
        <v>1222.6256</v>
      </c>
      <c r="H127" s="53">
        <v>175</v>
      </c>
      <c r="I127" s="55">
        <v>270</v>
      </c>
      <c r="J127" s="57">
        <v>115.9</v>
      </c>
      <c r="K127" s="57">
        <v>176</v>
      </c>
      <c r="L127" s="398">
        <f>VLOOKUP($A127,'Master Data'!$A$3:$AP$151,42,1)</f>
        <v>350</v>
      </c>
      <c r="M127" s="399">
        <f>VLOOKUP($A127,'Master Data'!$A$3:$AP$151,41,1)</f>
        <v>202.8669299457447</v>
      </c>
      <c r="N127" s="57">
        <v>2.91</v>
      </c>
      <c r="O127" s="57">
        <v>0.82</v>
      </c>
      <c r="P127" s="299">
        <v>4</v>
      </c>
      <c r="Q127" s="299">
        <v>2</v>
      </c>
      <c r="R127" s="58">
        <f>'Proposed Spec Lines'!E$3+'Proposed Spec Lines'!E$4*'Spec Analysis_ScreenSize'!E127+'Proposed Spec Lines'!E$5*'Spec Analysis_ScreenSize'!G127</f>
        <v>223.29107199999999</v>
      </c>
      <c r="S127" s="70">
        <f t="shared" si="30"/>
        <v>1</v>
      </c>
      <c r="T127" s="70">
        <f t="shared" si="20"/>
        <v>1</v>
      </c>
      <c r="U127" s="212">
        <f t="shared" si="21"/>
        <v>202.8669299457447</v>
      </c>
      <c r="V127" s="212">
        <f t="shared" si="22"/>
        <v>202.8669299457447</v>
      </c>
      <c r="W127" s="13">
        <f t="shared" si="23"/>
        <v>2.91</v>
      </c>
      <c r="X127" s="13">
        <f t="shared" si="24"/>
        <v>2</v>
      </c>
      <c r="Y127" s="13">
        <f t="shared" si="25"/>
        <v>0.82</v>
      </c>
      <c r="Z127" s="13">
        <f t="shared" si="26"/>
        <v>0.82</v>
      </c>
      <c r="AB127" s="240">
        <f t="shared" si="32"/>
        <v>1.2962962962962963</v>
      </c>
    </row>
    <row r="128" spans="1:28" ht="12.75">
      <c r="A128" s="63">
        <v>62</v>
      </c>
      <c r="B128" s="52" t="s">
        <v>32</v>
      </c>
      <c r="C128" s="53" t="s">
        <v>17</v>
      </c>
      <c r="D128" s="53">
        <f>1920*1080</f>
        <v>2073600</v>
      </c>
      <c r="E128" s="54">
        <f t="shared" si="29"/>
        <v>2.0736</v>
      </c>
      <c r="F128" s="64">
        <v>46</v>
      </c>
      <c r="G128" s="56">
        <v>902.25</v>
      </c>
      <c r="H128" s="53">
        <v>175</v>
      </c>
      <c r="I128" s="55">
        <v>390</v>
      </c>
      <c r="J128" s="57">
        <v>117</v>
      </c>
      <c r="K128" s="57">
        <v>199.5</v>
      </c>
      <c r="L128" s="398">
        <f>VLOOKUP($A128,'Master Data'!$A$3:$AP$151,42,1)</f>
        <v>350</v>
      </c>
      <c r="M128" s="399">
        <f>VLOOKUP($A128,'Master Data'!$A$3:$AP$151,41,1)</f>
        <v>185.10096920419937</v>
      </c>
      <c r="N128" s="57">
        <v>3.17</v>
      </c>
      <c r="O128" s="57">
        <v>1.52</v>
      </c>
      <c r="P128" s="299">
        <v>4</v>
      </c>
      <c r="Q128" s="299">
        <v>2</v>
      </c>
      <c r="R128" s="58">
        <f>'Proposed Spec Lines'!E$3+'Proposed Spec Lines'!E$4*'Spec Analysis_ScreenSize'!E128+'Proposed Spec Lines'!E$5*'Spec Analysis_ScreenSize'!G128</f>
        <v>184.846</v>
      </c>
      <c r="S128" s="70">
        <f t="shared" si="30"/>
        <v>0</v>
      </c>
      <c r="T128" s="70">
        <f t="shared" si="20"/>
        <v>0</v>
      </c>
      <c r="U128" s="212">
        <f t="shared" si="21"/>
        <v>185.10096920419937</v>
      </c>
      <c r="V128" s="212">
        <f t="shared" si="22"/>
        <v>184.846</v>
      </c>
      <c r="W128" s="13">
        <f t="shared" si="23"/>
        <v>3.17</v>
      </c>
      <c r="X128" s="13">
        <f t="shared" si="24"/>
        <v>2</v>
      </c>
      <c r="Y128" s="13">
        <f t="shared" si="25"/>
        <v>1.52</v>
      </c>
      <c r="Z128" s="13">
        <f t="shared" si="26"/>
        <v>1</v>
      </c>
      <c r="AB128" s="240">
        <f t="shared" si="32"/>
        <v>0.8974358974358975</v>
      </c>
    </row>
    <row r="129" spans="1:28" ht="12.75">
      <c r="A129" s="59">
        <v>93</v>
      </c>
      <c r="B129" s="52" t="s">
        <v>32</v>
      </c>
      <c r="C129" s="60" t="s">
        <v>17</v>
      </c>
      <c r="D129" s="60">
        <f>1920*1080</f>
        <v>2073600</v>
      </c>
      <c r="E129" s="54">
        <f t="shared" si="29"/>
        <v>2.0736</v>
      </c>
      <c r="F129" s="61">
        <v>47.6</v>
      </c>
      <c r="G129" s="56">
        <v>966.95</v>
      </c>
      <c r="H129" s="60">
        <v>175</v>
      </c>
      <c r="I129" s="61">
        <v>430</v>
      </c>
      <c r="J129" s="69">
        <v>134.7</v>
      </c>
      <c r="K129" s="62">
        <v>253.7</v>
      </c>
      <c r="L129" s="398">
        <f>VLOOKUP($A129,'Master Data'!$A$3:$AP$151,42,1)</f>
        <v>350</v>
      </c>
      <c r="M129" s="399">
        <f>VLOOKUP($A129,'Master Data'!$A$3:$AP$151,41,1)</f>
        <v>215.42871890958523</v>
      </c>
      <c r="N129" s="62">
        <v>3.8</v>
      </c>
      <c r="O129" s="62">
        <v>2.6</v>
      </c>
      <c r="P129" s="299">
        <v>4</v>
      </c>
      <c r="Q129" s="299">
        <v>2</v>
      </c>
      <c r="R129" s="58">
        <f>'Proposed Spec Lines'!E$3+'Proposed Spec Lines'!E$4*'Spec Analysis_ScreenSize'!E129+'Proposed Spec Lines'!E$5*'Spec Analysis_ScreenSize'!G129</f>
        <v>192.61</v>
      </c>
      <c r="S129" s="70">
        <f t="shared" si="30"/>
        <v>0</v>
      </c>
      <c r="T129" s="70">
        <f t="shared" si="20"/>
        <v>0</v>
      </c>
      <c r="U129" s="212">
        <f t="shared" si="21"/>
        <v>215.42871890958523</v>
      </c>
      <c r="V129" s="212">
        <f t="shared" si="22"/>
        <v>192.61</v>
      </c>
      <c r="W129" s="13">
        <f t="shared" si="23"/>
        <v>3.8</v>
      </c>
      <c r="X129" s="13">
        <f t="shared" si="24"/>
        <v>2</v>
      </c>
      <c r="Y129" s="13">
        <f t="shared" si="25"/>
        <v>2.6</v>
      </c>
      <c r="Z129" s="13">
        <f t="shared" si="26"/>
        <v>1</v>
      </c>
      <c r="AB129" s="240">
        <f t="shared" si="32"/>
        <v>0.813953488372093</v>
      </c>
    </row>
    <row r="130" spans="1:28" ht="12.75">
      <c r="A130" s="59">
        <v>94</v>
      </c>
      <c r="B130" s="52" t="s">
        <v>32</v>
      </c>
      <c r="C130" s="60" t="s">
        <v>17</v>
      </c>
      <c r="D130" s="60">
        <f>1920*1080</f>
        <v>2073600</v>
      </c>
      <c r="E130" s="54">
        <f aca="true" t="shared" si="33" ref="E130:E142">D130/10^6</f>
        <v>2.0736</v>
      </c>
      <c r="F130" s="61">
        <v>47.6</v>
      </c>
      <c r="G130" s="56">
        <v>966.95</v>
      </c>
      <c r="H130" s="60">
        <v>175</v>
      </c>
      <c r="I130" s="61">
        <v>430</v>
      </c>
      <c r="J130" s="69">
        <v>131</v>
      </c>
      <c r="K130" s="62">
        <v>248</v>
      </c>
      <c r="L130" s="398">
        <f>VLOOKUP($A130,'Master Data'!$A$3:$AP$151,42,1)</f>
        <v>350</v>
      </c>
      <c r="M130" s="399">
        <f>VLOOKUP($A130,'Master Data'!$A$3:$AP$151,41,1)</f>
        <v>210.32690400088174</v>
      </c>
      <c r="N130" s="62">
        <v>4.1</v>
      </c>
      <c r="O130" s="62">
        <v>2.8</v>
      </c>
      <c r="P130" s="299">
        <v>4</v>
      </c>
      <c r="Q130" s="299">
        <v>2</v>
      </c>
      <c r="R130" s="58">
        <f>'Proposed Spec Lines'!E$3+'Proposed Spec Lines'!E$4*'Spec Analysis_ScreenSize'!E130+'Proposed Spec Lines'!E$5*'Spec Analysis_ScreenSize'!G130</f>
        <v>192.61</v>
      </c>
      <c r="S130" s="70">
        <f aca="true" t="shared" si="34" ref="S130:S142">IF(R130&gt;=M130,1,0)</f>
        <v>0</v>
      </c>
      <c r="T130" s="70">
        <f t="shared" si="20"/>
        <v>0</v>
      </c>
      <c r="U130" s="212">
        <f t="shared" si="21"/>
        <v>210.32690400088174</v>
      </c>
      <c r="V130" s="212">
        <f t="shared" si="22"/>
        <v>192.61</v>
      </c>
      <c r="W130" s="13">
        <f t="shared" si="23"/>
        <v>4.1</v>
      </c>
      <c r="X130" s="13">
        <f t="shared" si="24"/>
        <v>2</v>
      </c>
      <c r="Y130" s="13">
        <f t="shared" si="25"/>
        <v>2.8</v>
      </c>
      <c r="Z130" s="13">
        <f t="shared" si="26"/>
        <v>1</v>
      </c>
      <c r="AB130" s="240">
        <f t="shared" si="32"/>
        <v>0.813953488372093</v>
      </c>
    </row>
    <row r="131" spans="1:28" ht="12.75">
      <c r="A131" s="52">
        <v>95</v>
      </c>
      <c r="B131" s="52" t="s">
        <v>32</v>
      </c>
      <c r="C131" s="60" t="s">
        <v>17</v>
      </c>
      <c r="D131" s="60">
        <f>1920*1080</f>
        <v>2073600</v>
      </c>
      <c r="E131" s="54">
        <f t="shared" si="33"/>
        <v>2.0736</v>
      </c>
      <c r="F131" s="61">
        <v>47.6</v>
      </c>
      <c r="G131" s="56">
        <v>966.95</v>
      </c>
      <c r="H131" s="60">
        <v>175</v>
      </c>
      <c r="I131" s="61">
        <v>430</v>
      </c>
      <c r="J131" s="69">
        <v>132.4</v>
      </c>
      <c r="K131" s="62">
        <v>253</v>
      </c>
      <c r="L131" s="398">
        <f>VLOOKUP($A131,'Master Data'!$A$3:$AP$151,42,1)</f>
        <v>350</v>
      </c>
      <c r="M131" s="399">
        <f>VLOOKUP($A131,'Master Data'!$A$3:$AP$151,41,1)</f>
        <v>214.33091590433153</v>
      </c>
      <c r="N131" s="62">
        <v>4</v>
      </c>
      <c r="O131" s="62">
        <v>2.7</v>
      </c>
      <c r="P131" s="299">
        <v>4</v>
      </c>
      <c r="Q131" s="299">
        <v>2</v>
      </c>
      <c r="R131" s="58">
        <f>'Proposed Spec Lines'!E$3+'Proposed Spec Lines'!E$4*'Spec Analysis_ScreenSize'!E131+'Proposed Spec Lines'!E$5*'Spec Analysis_ScreenSize'!G131</f>
        <v>192.61</v>
      </c>
      <c r="S131" s="70">
        <f t="shared" si="34"/>
        <v>0</v>
      </c>
      <c r="T131" s="70">
        <f aca="true" t="shared" si="35" ref="T131:T142">IF(R131&gt;=M131,IF(N131&lt;=P131,IF(O131&lt;=Q131,1,0),0),0)</f>
        <v>0</v>
      </c>
      <c r="U131" s="212">
        <f aca="true" t="shared" si="36" ref="U131:U142">M131</f>
        <v>214.33091590433153</v>
      </c>
      <c r="V131" s="212">
        <f aca="true" t="shared" si="37" ref="V131:V142">IF(M131&lt;=R131,M131,R131)</f>
        <v>192.61</v>
      </c>
      <c r="W131" s="13">
        <f aca="true" t="shared" si="38" ref="W131:W142">N131</f>
        <v>4</v>
      </c>
      <c r="X131" s="13">
        <f aca="true" t="shared" si="39" ref="X131:X142">IF(W131&lt;=2,W131,2)</f>
        <v>2</v>
      </c>
      <c r="Y131" s="13">
        <f aca="true" t="shared" si="40" ref="Y131:Y142">O131</f>
        <v>2.7</v>
      </c>
      <c r="Z131" s="13">
        <f aca="true" t="shared" si="41" ref="Z131:Z142">IF(Y131&lt;=1,Y131,1)</f>
        <v>1</v>
      </c>
      <c r="AB131" s="240">
        <f t="shared" si="32"/>
        <v>0.813953488372093</v>
      </c>
    </row>
    <row r="132" spans="1:28" ht="12.75">
      <c r="A132" s="63">
        <v>64</v>
      </c>
      <c r="B132" s="52" t="s">
        <v>32</v>
      </c>
      <c r="C132" s="53" t="s">
        <v>23</v>
      </c>
      <c r="D132" s="53">
        <f>1365*768</f>
        <v>1048320</v>
      </c>
      <c r="E132" s="54">
        <f t="shared" si="33"/>
        <v>1.04832</v>
      </c>
      <c r="F132" s="55">
        <v>50</v>
      </c>
      <c r="G132" s="56">
        <v>1065.75</v>
      </c>
      <c r="H132" s="53">
        <v>64</v>
      </c>
      <c r="I132" s="55">
        <v>64</v>
      </c>
      <c r="J132" s="57">
        <v>322</v>
      </c>
      <c r="K132" s="57">
        <v>322</v>
      </c>
      <c r="L132" s="398">
        <f>VLOOKUP($A132,'Master Data'!$A$3:$AP$151,42,1)</f>
        <v>64</v>
      </c>
      <c r="M132" s="399">
        <f>VLOOKUP($A132,'Master Data'!$A$3:$AP$151,41,1)</f>
        <v>322</v>
      </c>
      <c r="N132" s="57">
        <v>1.1</v>
      </c>
      <c r="O132" s="57">
        <v>0.9</v>
      </c>
      <c r="P132" s="299">
        <v>4</v>
      </c>
      <c r="Q132" s="299">
        <v>2</v>
      </c>
      <c r="R132" s="58">
        <f>'Proposed Spec Lines'!E$3+'Proposed Spec Lines'!E$4*'Spec Analysis_ScreenSize'!E132+'Proposed Spec Lines'!E$5*'Spec Analysis_ScreenSize'!G132</f>
        <v>168.5812</v>
      </c>
      <c r="S132" s="70">
        <f t="shared" si="34"/>
        <v>0</v>
      </c>
      <c r="T132" s="70">
        <f t="shared" si="35"/>
        <v>0</v>
      </c>
      <c r="U132" s="212">
        <f t="shared" si="36"/>
        <v>322</v>
      </c>
      <c r="V132" s="212">
        <f t="shared" si="37"/>
        <v>168.5812</v>
      </c>
      <c r="W132" s="13">
        <f t="shared" si="38"/>
        <v>1.1</v>
      </c>
      <c r="X132" s="13">
        <f t="shared" si="39"/>
        <v>1.1</v>
      </c>
      <c r="Y132" s="13">
        <f t="shared" si="40"/>
        <v>0.9</v>
      </c>
      <c r="Z132" s="13">
        <f t="shared" si="41"/>
        <v>0.9</v>
      </c>
      <c r="AB132" s="240">
        <v>1</v>
      </c>
    </row>
    <row r="133" spans="1:28" ht="12.75">
      <c r="A133" s="59">
        <v>96</v>
      </c>
      <c r="B133" s="52" t="s">
        <v>32</v>
      </c>
      <c r="C133" s="60" t="s">
        <v>17</v>
      </c>
      <c r="D133" s="60">
        <f>1920*1080</f>
        <v>2073600</v>
      </c>
      <c r="E133" s="54">
        <f t="shared" si="33"/>
        <v>2.0736</v>
      </c>
      <c r="F133" s="61">
        <v>53.9</v>
      </c>
      <c r="G133" s="56">
        <v>1240.8</v>
      </c>
      <c r="H133" s="60">
        <v>175</v>
      </c>
      <c r="I133" s="67">
        <v>370</v>
      </c>
      <c r="J133" s="69">
        <v>166.6</v>
      </c>
      <c r="K133" s="69">
        <v>293.6</v>
      </c>
      <c r="L133" s="398">
        <f>VLOOKUP($A133,'Master Data'!$A$3:$AP$151,42,1)</f>
        <v>350</v>
      </c>
      <c r="M133" s="399">
        <f>VLOOKUP($A133,'Master Data'!$A$3:$AP$151,41,1)</f>
        <v>280.4863196975141</v>
      </c>
      <c r="N133" s="69">
        <v>3.8</v>
      </c>
      <c r="O133" s="69">
        <v>2.4</v>
      </c>
      <c r="P133" s="299">
        <v>4</v>
      </c>
      <c r="Q133" s="299">
        <v>2</v>
      </c>
      <c r="R133" s="58">
        <f>'Proposed Spec Lines'!E$3+'Proposed Spec Lines'!E$4*'Spec Analysis_ScreenSize'!E133+'Proposed Spec Lines'!E$5*'Spec Analysis_ScreenSize'!G133</f>
        <v>225.47199999999998</v>
      </c>
      <c r="S133" s="70">
        <f t="shared" si="34"/>
        <v>0</v>
      </c>
      <c r="T133" s="70">
        <f t="shared" si="35"/>
        <v>0</v>
      </c>
      <c r="U133" s="212">
        <f t="shared" si="36"/>
        <v>280.4863196975141</v>
      </c>
      <c r="V133" s="212">
        <f t="shared" si="37"/>
        <v>225.47199999999998</v>
      </c>
      <c r="W133" s="13">
        <f t="shared" si="38"/>
        <v>3.8</v>
      </c>
      <c r="X133" s="13">
        <f t="shared" si="39"/>
        <v>2</v>
      </c>
      <c r="Y133" s="13">
        <f t="shared" si="40"/>
        <v>2.4</v>
      </c>
      <c r="Z133" s="13">
        <f t="shared" si="41"/>
        <v>1</v>
      </c>
      <c r="AB133" s="240">
        <f t="shared" si="32"/>
        <v>0.9459459459459459</v>
      </c>
    </row>
    <row r="134" spans="1:28" ht="12.75">
      <c r="A134" s="59">
        <v>97</v>
      </c>
      <c r="B134" s="52" t="s">
        <v>32</v>
      </c>
      <c r="C134" s="60" t="s">
        <v>17</v>
      </c>
      <c r="D134" s="60">
        <f>1920*1080</f>
        <v>2073600</v>
      </c>
      <c r="E134" s="54">
        <f t="shared" si="33"/>
        <v>2.0736</v>
      </c>
      <c r="F134" s="61">
        <v>53.9</v>
      </c>
      <c r="G134" s="56">
        <v>1240.8</v>
      </c>
      <c r="H134" s="60">
        <v>175</v>
      </c>
      <c r="I134" s="67">
        <v>370</v>
      </c>
      <c r="J134" s="69">
        <v>160.3</v>
      </c>
      <c r="K134" s="69">
        <v>285.1</v>
      </c>
      <c r="L134" s="398">
        <f>VLOOKUP($A134,'Master Data'!$A$3:$AP$151,42,1)</f>
        <v>350</v>
      </c>
      <c r="M134" s="399">
        <f>VLOOKUP($A134,'Master Data'!$A$3:$AP$151,41,1)</f>
        <v>272.2876781467604</v>
      </c>
      <c r="N134" s="69">
        <v>4.2</v>
      </c>
      <c r="O134" s="69">
        <v>2.8</v>
      </c>
      <c r="P134" s="299">
        <v>4</v>
      </c>
      <c r="Q134" s="299">
        <v>2</v>
      </c>
      <c r="R134" s="58">
        <f>'Proposed Spec Lines'!E$3+'Proposed Spec Lines'!E$4*'Spec Analysis_ScreenSize'!E134+'Proposed Spec Lines'!E$5*'Spec Analysis_ScreenSize'!G134</f>
        <v>225.47199999999998</v>
      </c>
      <c r="S134" s="70">
        <f t="shared" si="34"/>
        <v>0</v>
      </c>
      <c r="T134" s="70">
        <f t="shared" si="35"/>
        <v>0</v>
      </c>
      <c r="U134" s="212">
        <f t="shared" si="36"/>
        <v>272.2876781467604</v>
      </c>
      <c r="V134" s="212">
        <f t="shared" si="37"/>
        <v>225.47199999999998</v>
      </c>
      <c r="W134" s="13">
        <f t="shared" si="38"/>
        <v>4.2</v>
      </c>
      <c r="X134" s="13">
        <f t="shared" si="39"/>
        <v>2</v>
      </c>
      <c r="Y134" s="13">
        <f t="shared" si="40"/>
        <v>2.8</v>
      </c>
      <c r="Z134" s="13">
        <f t="shared" si="41"/>
        <v>1</v>
      </c>
      <c r="AB134" s="240">
        <f t="shared" si="32"/>
        <v>0.9459459459459459</v>
      </c>
    </row>
    <row r="135" spans="1:28" ht="12.75">
      <c r="A135" s="59">
        <v>98</v>
      </c>
      <c r="B135" s="52" t="s">
        <v>32</v>
      </c>
      <c r="C135" s="60" t="s">
        <v>17</v>
      </c>
      <c r="D135" s="60">
        <f>1920*1080</f>
        <v>2073600</v>
      </c>
      <c r="E135" s="54">
        <f t="shared" si="33"/>
        <v>2.0736</v>
      </c>
      <c r="F135" s="61">
        <v>53.9</v>
      </c>
      <c r="G135" s="56">
        <v>1240.8</v>
      </c>
      <c r="H135" s="60">
        <v>175</v>
      </c>
      <c r="I135" s="67">
        <v>370</v>
      </c>
      <c r="J135" s="62">
        <v>166.6</v>
      </c>
      <c r="K135" s="62">
        <v>288</v>
      </c>
      <c r="L135" s="398">
        <f>VLOOKUP($A135,'Master Data'!$A$3:$AP$151,42,1)</f>
        <v>350</v>
      </c>
      <c r="M135" s="399">
        <f>VLOOKUP($A135,'Master Data'!$A$3:$AP$151,41,1)</f>
        <v>275.40913103731464</v>
      </c>
      <c r="N135" s="62">
        <v>3.9</v>
      </c>
      <c r="O135" s="62">
        <v>2.4</v>
      </c>
      <c r="P135" s="299">
        <v>4</v>
      </c>
      <c r="Q135" s="299">
        <v>2</v>
      </c>
      <c r="R135" s="58">
        <f>'Proposed Spec Lines'!E$3+'Proposed Spec Lines'!E$4*'Spec Analysis_ScreenSize'!E135+'Proposed Spec Lines'!E$5*'Spec Analysis_ScreenSize'!G135</f>
        <v>225.47199999999998</v>
      </c>
      <c r="S135" s="70">
        <f t="shared" si="34"/>
        <v>0</v>
      </c>
      <c r="T135" s="70">
        <f t="shared" si="35"/>
        <v>0</v>
      </c>
      <c r="U135" s="212">
        <f t="shared" si="36"/>
        <v>275.40913103731464</v>
      </c>
      <c r="V135" s="212">
        <f t="shared" si="37"/>
        <v>225.47199999999998</v>
      </c>
      <c r="W135" s="13">
        <f t="shared" si="38"/>
        <v>3.9</v>
      </c>
      <c r="X135" s="13">
        <f t="shared" si="39"/>
        <v>2</v>
      </c>
      <c r="Y135" s="13">
        <f t="shared" si="40"/>
        <v>2.4</v>
      </c>
      <c r="Z135" s="13">
        <f t="shared" si="41"/>
        <v>1</v>
      </c>
      <c r="AB135" s="240">
        <f t="shared" si="32"/>
        <v>0.9459459459459459</v>
      </c>
    </row>
    <row r="136" spans="1:28" ht="12.75">
      <c r="A136" s="63">
        <v>58</v>
      </c>
      <c r="B136" s="52" t="s">
        <v>32</v>
      </c>
      <c r="C136" s="53" t="s">
        <v>17</v>
      </c>
      <c r="D136" s="53">
        <f>1920*1080</f>
        <v>2073600</v>
      </c>
      <c r="E136" s="54">
        <f t="shared" si="33"/>
        <v>2.0736</v>
      </c>
      <c r="F136" s="64">
        <v>57</v>
      </c>
      <c r="G136" s="56">
        <v>1365.61</v>
      </c>
      <c r="H136" s="53">
        <v>175</v>
      </c>
      <c r="I136" s="64">
        <v>392</v>
      </c>
      <c r="J136" s="65">
        <v>160.6</v>
      </c>
      <c r="K136" s="65">
        <v>300</v>
      </c>
      <c r="L136" s="398">
        <f>VLOOKUP($A136,'Master Data'!$A$3:$AP$151,42,1)</f>
        <v>350</v>
      </c>
      <c r="M136" s="399">
        <f>VLOOKUP($A136,'Master Data'!$A$3:$AP$151,41,1)</f>
        <v>273.9874577113701</v>
      </c>
      <c r="N136" s="65">
        <v>2.19</v>
      </c>
      <c r="O136" s="65">
        <v>2.18</v>
      </c>
      <c r="P136" s="299">
        <v>4</v>
      </c>
      <c r="Q136" s="299">
        <v>2</v>
      </c>
      <c r="R136" s="58">
        <f>'Proposed Spec Lines'!E$3+'Proposed Spec Lines'!E$4*'Spec Analysis_ScreenSize'!E136+'Proposed Spec Lines'!E$5*'Spec Analysis_ScreenSize'!G136</f>
        <v>240.44919999999996</v>
      </c>
      <c r="S136" s="70">
        <f t="shared" si="34"/>
        <v>0</v>
      </c>
      <c r="T136" s="70">
        <f t="shared" si="35"/>
        <v>0</v>
      </c>
      <c r="U136" s="212">
        <f t="shared" si="36"/>
        <v>273.9874577113701</v>
      </c>
      <c r="V136" s="212">
        <f t="shared" si="37"/>
        <v>240.44919999999996</v>
      </c>
      <c r="W136" s="13">
        <f t="shared" si="38"/>
        <v>2.19</v>
      </c>
      <c r="X136" s="13">
        <f t="shared" si="39"/>
        <v>2</v>
      </c>
      <c r="Y136" s="13">
        <f t="shared" si="40"/>
        <v>2.18</v>
      </c>
      <c r="Z136" s="13">
        <f t="shared" si="41"/>
        <v>1</v>
      </c>
      <c r="AB136" s="240">
        <f t="shared" si="32"/>
        <v>0.8928571428571429</v>
      </c>
    </row>
    <row r="137" spans="1:28" ht="12.75">
      <c r="A137" s="59">
        <v>78</v>
      </c>
      <c r="B137" s="52" t="s">
        <v>32</v>
      </c>
      <c r="C137" s="60" t="s">
        <v>17</v>
      </c>
      <c r="D137" s="60">
        <f>1920*1080</f>
        <v>2073600</v>
      </c>
      <c r="E137" s="54">
        <f t="shared" si="33"/>
        <v>2.0736</v>
      </c>
      <c r="F137" s="61">
        <v>57</v>
      </c>
      <c r="G137" s="56">
        <v>2468.0830860534124</v>
      </c>
      <c r="H137" s="60">
        <v>179</v>
      </c>
      <c r="I137" s="61">
        <v>405</v>
      </c>
      <c r="J137" s="62">
        <v>182</v>
      </c>
      <c r="K137" s="62">
        <v>389</v>
      </c>
      <c r="L137" s="398">
        <f>VLOOKUP($A137,'Master Data'!$A$3:$AP$151,42,1)</f>
        <v>350</v>
      </c>
      <c r="M137" s="399">
        <f>VLOOKUP($A137,'Master Data'!$A$3:$AP$151,41,1)</f>
        <v>339.5238609251212</v>
      </c>
      <c r="N137" s="62">
        <v>0.7</v>
      </c>
      <c r="O137" s="62">
        <v>0.7</v>
      </c>
      <c r="P137" s="299">
        <v>4</v>
      </c>
      <c r="Q137" s="299">
        <v>2</v>
      </c>
      <c r="R137" s="58">
        <f>'Proposed Spec Lines'!E$3+'Proposed Spec Lines'!E$4*'Spec Analysis_ScreenSize'!E137+'Proposed Spec Lines'!E$5*'Spec Analysis_ScreenSize'!G137</f>
        <v>372.7459703264095</v>
      </c>
      <c r="S137" s="70">
        <f t="shared" si="34"/>
        <v>1</v>
      </c>
      <c r="T137" s="70">
        <f t="shared" si="35"/>
        <v>1</v>
      </c>
      <c r="U137" s="212">
        <f t="shared" si="36"/>
        <v>339.5238609251212</v>
      </c>
      <c r="V137" s="212">
        <f t="shared" si="37"/>
        <v>339.5238609251212</v>
      </c>
      <c r="W137" s="13">
        <f t="shared" si="38"/>
        <v>0.7</v>
      </c>
      <c r="X137" s="13">
        <f t="shared" si="39"/>
        <v>0.7</v>
      </c>
      <c r="Y137" s="13">
        <f t="shared" si="40"/>
        <v>0.7</v>
      </c>
      <c r="Z137" s="13">
        <f t="shared" si="41"/>
        <v>0.7</v>
      </c>
      <c r="AB137" s="240">
        <f t="shared" si="32"/>
        <v>0.8641975308641975</v>
      </c>
    </row>
    <row r="138" spans="1:28" ht="12.75">
      <c r="A138" s="59">
        <v>65</v>
      </c>
      <c r="B138" s="52" t="s">
        <v>32</v>
      </c>
      <c r="C138" s="53" t="s">
        <v>24</v>
      </c>
      <c r="D138" s="53">
        <f>1366*768</f>
        <v>1049088</v>
      </c>
      <c r="E138" s="54">
        <f t="shared" si="33"/>
        <v>1.049088</v>
      </c>
      <c r="F138" s="55">
        <v>60</v>
      </c>
      <c r="G138" s="56">
        <v>1515.48</v>
      </c>
      <c r="H138" s="53">
        <v>64</v>
      </c>
      <c r="I138" s="55">
        <v>64</v>
      </c>
      <c r="J138" s="57">
        <v>465</v>
      </c>
      <c r="K138" s="57">
        <v>465</v>
      </c>
      <c r="L138" s="398">
        <f>VLOOKUP($A138,'Master Data'!$A$3:$AP$151,42,1)</f>
        <v>64</v>
      </c>
      <c r="M138" s="399">
        <f>VLOOKUP($A138,'Master Data'!$A$3:$AP$151,41,1)</f>
        <v>465</v>
      </c>
      <c r="N138" s="57">
        <v>1</v>
      </c>
      <c r="O138" s="57">
        <v>0.8</v>
      </c>
      <c r="P138" s="299">
        <v>4</v>
      </c>
      <c r="Q138" s="299">
        <v>2</v>
      </c>
      <c r="R138" s="58">
        <f>'Proposed Spec Lines'!E$3+'Proposed Spec Lines'!E$4*'Spec Analysis_ScreenSize'!E138+'Proposed Spec Lines'!E$5*'Spec Analysis_ScreenSize'!G138</f>
        <v>222.57567999999998</v>
      </c>
      <c r="S138" s="70">
        <f t="shared" si="34"/>
        <v>0</v>
      </c>
      <c r="T138" s="70">
        <f t="shared" si="35"/>
        <v>0</v>
      </c>
      <c r="U138" s="212">
        <f t="shared" si="36"/>
        <v>465</v>
      </c>
      <c r="V138" s="212">
        <f t="shared" si="37"/>
        <v>222.57567999999998</v>
      </c>
      <c r="W138" s="13">
        <f t="shared" si="38"/>
        <v>1</v>
      </c>
      <c r="X138" s="13">
        <f t="shared" si="39"/>
        <v>1</v>
      </c>
      <c r="Y138" s="13">
        <f t="shared" si="40"/>
        <v>0.8</v>
      </c>
      <c r="Z138" s="13">
        <f t="shared" si="41"/>
        <v>0.8</v>
      </c>
      <c r="AB138" s="240">
        <v>1</v>
      </c>
    </row>
    <row r="139" spans="1:28" ht="12.75">
      <c r="A139" s="52">
        <v>75</v>
      </c>
      <c r="B139" s="52" t="s">
        <v>32</v>
      </c>
      <c r="C139" s="60" t="s">
        <v>17</v>
      </c>
      <c r="D139" s="60">
        <f>1920*1080</f>
        <v>2073600</v>
      </c>
      <c r="E139" s="54">
        <f t="shared" si="33"/>
        <v>2.0736</v>
      </c>
      <c r="F139" s="67">
        <v>63</v>
      </c>
      <c r="G139" s="56">
        <v>3015.0267062314538</v>
      </c>
      <c r="H139" s="68"/>
      <c r="I139" s="67">
        <v>161</v>
      </c>
      <c r="J139" s="69"/>
      <c r="K139" s="62">
        <v>667</v>
      </c>
      <c r="L139" s="398">
        <f>VLOOKUP($A139,'Master Data'!$A$3:$AP$151,42,1)</f>
        <v>161</v>
      </c>
      <c r="M139" s="399">
        <f>VLOOKUP($A139,'Master Data'!$A$3:$AP$151,41,1)</f>
        <v>667</v>
      </c>
      <c r="N139" s="62">
        <v>0.92</v>
      </c>
      <c r="O139" s="62">
        <v>0.92</v>
      </c>
      <c r="P139" s="299">
        <v>4</v>
      </c>
      <c r="Q139" s="299">
        <v>2</v>
      </c>
      <c r="R139" s="58">
        <f>'Proposed Spec Lines'!E$3+'Proposed Spec Lines'!E$4*'Spec Analysis_ScreenSize'!E139+'Proposed Spec Lines'!E$5*'Spec Analysis_ScreenSize'!G139</f>
        <v>438.37920474777445</v>
      </c>
      <c r="S139" s="70">
        <f t="shared" si="34"/>
        <v>0</v>
      </c>
      <c r="T139" s="70">
        <f t="shared" si="35"/>
        <v>0</v>
      </c>
      <c r="U139" s="212">
        <f t="shared" si="36"/>
        <v>667</v>
      </c>
      <c r="V139" s="212">
        <f t="shared" si="37"/>
        <v>438.37920474777445</v>
      </c>
      <c r="W139" s="13">
        <f t="shared" si="38"/>
        <v>0.92</v>
      </c>
      <c r="X139" s="13">
        <f t="shared" si="39"/>
        <v>0.92</v>
      </c>
      <c r="Y139" s="13">
        <f t="shared" si="40"/>
        <v>0.92</v>
      </c>
      <c r="Z139" s="13">
        <f t="shared" si="41"/>
        <v>0.92</v>
      </c>
      <c r="AB139" s="240">
        <v>1</v>
      </c>
    </row>
    <row r="140" spans="1:28" ht="12.75">
      <c r="A140" s="51">
        <v>59</v>
      </c>
      <c r="B140" s="52" t="s">
        <v>32</v>
      </c>
      <c r="C140" s="53" t="s">
        <v>17</v>
      </c>
      <c r="D140" s="53">
        <f>1920*1080</f>
        <v>2073600</v>
      </c>
      <c r="E140" s="54">
        <f t="shared" si="33"/>
        <v>2.0736</v>
      </c>
      <c r="F140" s="64">
        <v>65</v>
      </c>
      <c r="G140" s="56">
        <v>1775.92</v>
      </c>
      <c r="H140" s="66">
        <v>229</v>
      </c>
      <c r="I140" s="64">
        <v>375</v>
      </c>
      <c r="J140" s="65">
        <v>286.3</v>
      </c>
      <c r="K140" s="65">
        <v>420.3</v>
      </c>
      <c r="L140" s="398">
        <f>VLOOKUP($A140,'Master Data'!$A$3:$AP$151,42,1)</f>
        <v>350</v>
      </c>
      <c r="M140" s="399">
        <f>VLOOKUP($A140,'Master Data'!$A$3:$AP$151,41,1)</f>
        <v>399.04284438197453</v>
      </c>
      <c r="N140" s="65">
        <v>3.56</v>
      </c>
      <c r="O140" s="65">
        <v>2.18</v>
      </c>
      <c r="P140" s="299">
        <v>4</v>
      </c>
      <c r="Q140" s="299">
        <v>2</v>
      </c>
      <c r="R140" s="58">
        <f>'Proposed Spec Lines'!E$3+'Proposed Spec Lines'!E$4*'Spec Analysis_ScreenSize'!E140+'Proposed Spec Lines'!E$5*'Spec Analysis_ScreenSize'!G140</f>
        <v>289.6864</v>
      </c>
      <c r="S140" s="70">
        <f t="shared" si="34"/>
        <v>0</v>
      </c>
      <c r="T140" s="70">
        <f t="shared" si="35"/>
        <v>0</v>
      </c>
      <c r="U140" s="212">
        <f t="shared" si="36"/>
        <v>399.04284438197453</v>
      </c>
      <c r="V140" s="212">
        <f t="shared" si="37"/>
        <v>289.6864</v>
      </c>
      <c r="W140" s="13">
        <f t="shared" si="38"/>
        <v>3.56</v>
      </c>
      <c r="X140" s="13">
        <f t="shared" si="39"/>
        <v>2</v>
      </c>
      <c r="Y140" s="13">
        <f t="shared" si="40"/>
        <v>2.18</v>
      </c>
      <c r="Z140" s="13">
        <f t="shared" si="41"/>
        <v>1</v>
      </c>
      <c r="AB140" s="240">
        <f t="shared" si="32"/>
        <v>0.9333333333333333</v>
      </c>
    </row>
    <row r="141" spans="1:28" ht="12.75">
      <c r="A141" s="59">
        <v>60</v>
      </c>
      <c r="B141" s="52" t="s">
        <v>32</v>
      </c>
      <c r="C141" s="53" t="s">
        <v>25</v>
      </c>
      <c r="D141" s="53">
        <f>1080*1920</f>
        <v>2073600</v>
      </c>
      <c r="E141" s="54">
        <f t="shared" si="33"/>
        <v>2.0736</v>
      </c>
      <c r="F141" s="64">
        <v>65</v>
      </c>
      <c r="G141" s="56">
        <v>1775.92</v>
      </c>
      <c r="H141" s="66">
        <v>236</v>
      </c>
      <c r="I141" s="64">
        <v>459</v>
      </c>
      <c r="J141" s="65">
        <v>279.8</v>
      </c>
      <c r="K141" s="65">
        <v>473</v>
      </c>
      <c r="L141" s="398">
        <f>VLOOKUP($A141,'Master Data'!$A$3:$AP$151,42,1)</f>
        <v>350</v>
      </c>
      <c r="M141" s="399">
        <f>VLOOKUP($A141,'Master Data'!$A$3:$AP$151,41,1)</f>
        <v>382.8152356927436</v>
      </c>
      <c r="N141" s="65">
        <v>3.69</v>
      </c>
      <c r="O141" s="65">
        <v>2.23</v>
      </c>
      <c r="P141" s="299">
        <v>4</v>
      </c>
      <c r="Q141" s="299">
        <v>2</v>
      </c>
      <c r="R141" s="58">
        <f>'Proposed Spec Lines'!E$3+'Proposed Spec Lines'!E$4*'Spec Analysis_ScreenSize'!E141+'Proposed Spec Lines'!E$5*'Spec Analysis_ScreenSize'!G141</f>
        <v>289.6864</v>
      </c>
      <c r="S141" s="70">
        <f t="shared" si="34"/>
        <v>0</v>
      </c>
      <c r="T141" s="70">
        <f t="shared" si="35"/>
        <v>0</v>
      </c>
      <c r="U141" s="212">
        <f t="shared" si="36"/>
        <v>382.8152356927436</v>
      </c>
      <c r="V141" s="212">
        <f t="shared" si="37"/>
        <v>289.6864</v>
      </c>
      <c r="W141" s="13">
        <f t="shared" si="38"/>
        <v>3.69</v>
      </c>
      <c r="X141" s="13">
        <f t="shared" si="39"/>
        <v>2</v>
      </c>
      <c r="Y141" s="13">
        <f t="shared" si="40"/>
        <v>2.23</v>
      </c>
      <c r="Z141" s="13">
        <f t="shared" si="41"/>
        <v>1</v>
      </c>
      <c r="AB141" s="240">
        <f t="shared" si="32"/>
        <v>0.7625272331154684</v>
      </c>
    </row>
    <row r="142" spans="1:28" ht="12.75">
      <c r="A142" s="52">
        <v>79</v>
      </c>
      <c r="B142" s="52" t="s">
        <v>32</v>
      </c>
      <c r="C142" s="60" t="s">
        <v>17</v>
      </c>
      <c r="D142" s="60">
        <f>1920*1080</f>
        <v>2073600</v>
      </c>
      <c r="E142" s="54">
        <f t="shared" si="33"/>
        <v>2.0736</v>
      </c>
      <c r="F142" s="67">
        <v>82</v>
      </c>
      <c r="G142" s="56">
        <v>5107.845697329377</v>
      </c>
      <c r="H142" s="68"/>
      <c r="I142" s="67">
        <v>598</v>
      </c>
      <c r="J142" s="69"/>
      <c r="K142" s="62">
        <v>944</v>
      </c>
      <c r="L142" s="398">
        <f>VLOOKUP($A142,'Master Data'!$A$3:$AP$151,42,1)</f>
        <v>350</v>
      </c>
      <c r="M142" s="399">
        <f>VLOOKUP($A142,'Master Data'!$A$3:$AP$151,41,1)</f>
        <v>582.4356435643565</v>
      </c>
      <c r="N142" s="62">
        <v>0.9</v>
      </c>
      <c r="O142" s="62">
        <v>0.9</v>
      </c>
      <c r="P142" s="299">
        <v>4</v>
      </c>
      <c r="Q142" s="299">
        <v>2</v>
      </c>
      <c r="R142" s="58">
        <f>'Proposed Spec Lines'!E$3+'Proposed Spec Lines'!E$4*'Spec Analysis_ScreenSize'!E142+'Proposed Spec Lines'!E$5*'Spec Analysis_ScreenSize'!G142</f>
        <v>689.5174836795252</v>
      </c>
      <c r="S142" s="70">
        <f t="shared" si="34"/>
        <v>1</v>
      </c>
      <c r="T142" s="70">
        <f t="shared" si="35"/>
        <v>1</v>
      </c>
      <c r="U142" s="212">
        <f t="shared" si="36"/>
        <v>582.4356435643565</v>
      </c>
      <c r="V142" s="212">
        <f t="shared" si="37"/>
        <v>582.4356435643565</v>
      </c>
      <c r="W142" s="13">
        <f t="shared" si="38"/>
        <v>0.9</v>
      </c>
      <c r="X142" s="13">
        <f t="shared" si="39"/>
        <v>0.9</v>
      </c>
      <c r="Y142" s="13">
        <f t="shared" si="40"/>
        <v>0.9</v>
      </c>
      <c r="Z142" s="13">
        <f t="shared" si="41"/>
        <v>0.9</v>
      </c>
      <c r="AB142" s="240">
        <f t="shared" si="32"/>
        <v>0.5852842809364549</v>
      </c>
    </row>
    <row r="143" spans="1:30" ht="12.75">
      <c r="A143" s="15" t="s">
        <v>70</v>
      </c>
      <c r="B143" s="3"/>
      <c r="C143" s="3"/>
      <c r="M143" s="369"/>
      <c r="R143" s="40">
        <f aca="true" t="shared" si="42" ref="R143:Z143">AVERAGE(R2:R142)</f>
        <v>58.99362761287799</v>
      </c>
      <c r="S143" s="41">
        <f t="shared" si="42"/>
        <v>0.24822695035460993</v>
      </c>
      <c r="T143" s="211">
        <f t="shared" si="42"/>
        <v>0.23404255319148937</v>
      </c>
      <c r="U143" s="40">
        <f t="shared" si="42"/>
        <v>69.67242207908136</v>
      </c>
      <c r="V143" s="40">
        <f t="shared" si="42"/>
        <v>56.90226829107138</v>
      </c>
      <c r="W143" s="40">
        <f t="shared" si="42"/>
        <v>1.1192482269503545</v>
      </c>
      <c r="X143" s="40">
        <f t="shared" si="42"/>
        <v>0.932014184397163</v>
      </c>
      <c r="Y143" s="40">
        <f t="shared" si="42"/>
        <v>0.7878865248226953</v>
      </c>
      <c r="Z143" s="40">
        <f t="shared" si="42"/>
        <v>0.6487375886524823</v>
      </c>
      <c r="AB143" s="240"/>
      <c r="AC143" s="13"/>
      <c r="AD143" s="8"/>
    </row>
    <row r="144" spans="1:21" ht="12.75">
      <c r="A144" s="14" t="s">
        <v>65</v>
      </c>
      <c r="B144" s="3"/>
      <c r="C144" s="3"/>
      <c r="M144" s="218"/>
      <c r="R144" s="39"/>
      <c r="S144" s="71"/>
      <c r="U144" s="215"/>
    </row>
    <row r="145" spans="1:21" ht="12.75">
      <c r="A145" s="14" t="s">
        <v>71</v>
      </c>
      <c r="B145" s="3"/>
      <c r="C145" s="3"/>
      <c r="I145" s="382"/>
      <c r="J145" s="383"/>
      <c r="R145" s="39"/>
      <c r="S145" s="418"/>
      <c r="U145" s="215"/>
    </row>
    <row r="146" spans="1:19" ht="12.75">
      <c r="A146" s="14" t="s">
        <v>304</v>
      </c>
      <c r="B146" s="3"/>
      <c r="C146" s="3"/>
      <c r="I146" s="382"/>
      <c r="J146" s="383"/>
      <c r="R146" s="39"/>
      <c r="S146" s="418"/>
    </row>
    <row r="147" spans="1:22" ht="12.75">
      <c r="A147" s="3"/>
      <c r="B147" s="3"/>
      <c r="C147" s="3"/>
      <c r="R147" s="39"/>
      <c r="S147" s="418"/>
      <c r="U147" s="212"/>
      <c r="V147" s="212"/>
    </row>
    <row r="148" spans="1:22" ht="12.75">
      <c r="A148" s="3"/>
      <c r="B148" s="3"/>
      <c r="C148" s="3"/>
      <c r="R148" s="39"/>
      <c r="S148" s="418"/>
      <c r="V148" s="238"/>
    </row>
    <row r="149" spans="1:19" ht="12.75">
      <c r="A149" s="3"/>
      <c r="B149" s="3"/>
      <c r="C149" s="3"/>
      <c r="R149" s="39"/>
      <c r="S149" s="418"/>
    </row>
    <row r="150" spans="18:26" ht="12.75">
      <c r="R150" s="39"/>
      <c r="S150" s="418"/>
      <c r="Z150" s="18"/>
    </row>
    <row r="151" spans="3:26" ht="12.75">
      <c r="C151" s="38" t="s">
        <v>48</v>
      </c>
      <c r="R151" s="39"/>
      <c r="S151" s="418"/>
      <c r="Z151" s="18"/>
    </row>
    <row r="152" spans="3:26" ht="25.5">
      <c r="C152" s="223"/>
      <c r="D152" s="225" t="s">
        <v>49</v>
      </c>
      <c r="E152" s="221" t="s">
        <v>81</v>
      </c>
      <c r="F152" s="221" t="s">
        <v>82</v>
      </c>
      <c r="G152" s="221" t="s">
        <v>79</v>
      </c>
      <c r="H152" s="226" t="s">
        <v>80</v>
      </c>
      <c r="R152" s="39"/>
      <c r="S152" s="418"/>
      <c r="Z152" s="18"/>
    </row>
    <row r="153" spans="3:26" ht="12.75">
      <c r="C153" s="222" t="s">
        <v>46</v>
      </c>
      <c r="D153" s="227">
        <f>COUNT($S2:$S10)</f>
        <v>9</v>
      </c>
      <c r="E153" s="228">
        <f>SUM($S2:$S10)</f>
        <v>2</v>
      </c>
      <c r="F153" s="229">
        <f>E153/$D153</f>
        <v>0.2222222222222222</v>
      </c>
      <c r="G153" s="228">
        <f>SUM($T2:$T10)</f>
        <v>1</v>
      </c>
      <c r="H153" s="230">
        <f>G153/$D153</f>
        <v>0.1111111111111111</v>
      </c>
      <c r="R153" s="39"/>
      <c r="S153" s="418"/>
      <c r="Z153" s="18"/>
    </row>
    <row r="154" spans="3:26" ht="12.75">
      <c r="C154" s="222" t="s">
        <v>47</v>
      </c>
      <c r="D154" s="227">
        <f>COUNT($S11:$S22)</f>
        <v>12</v>
      </c>
      <c r="E154" s="228">
        <f>SUM($S11:$S22)</f>
        <v>4</v>
      </c>
      <c r="F154" s="229">
        <f>E154/D154</f>
        <v>0.3333333333333333</v>
      </c>
      <c r="G154" s="228">
        <f>SUM($T11:$T22)</f>
        <v>4</v>
      </c>
      <c r="H154" s="230">
        <f>G154/$D154</f>
        <v>0.3333333333333333</v>
      </c>
      <c r="R154" s="39"/>
      <c r="S154" s="418"/>
      <c r="Z154" s="18"/>
    </row>
    <row r="155" spans="3:26" ht="12.75">
      <c r="C155" s="222" t="s">
        <v>303</v>
      </c>
      <c r="D155" s="227">
        <f>COUNT($S23:$S70)</f>
        <v>48</v>
      </c>
      <c r="E155" s="228">
        <f>SUM($S23:$S70)</f>
        <v>10</v>
      </c>
      <c r="F155" s="229">
        <f>E155/D155</f>
        <v>0.20833333333333334</v>
      </c>
      <c r="G155" s="228">
        <f>SUM($T23:$T70)</f>
        <v>10</v>
      </c>
      <c r="H155" s="230">
        <f>G155/$D155</f>
        <v>0.20833333333333334</v>
      </c>
      <c r="R155" s="39"/>
      <c r="S155" s="418"/>
      <c r="Z155" s="18"/>
    </row>
    <row r="156" spans="3:26" ht="12.75">
      <c r="C156" s="222" t="s">
        <v>227</v>
      </c>
      <c r="D156" s="227">
        <f>COUNT($S71:$S119)</f>
        <v>49</v>
      </c>
      <c r="E156" s="228">
        <f>SUM($S71:$S119)</f>
        <v>12</v>
      </c>
      <c r="F156" s="229">
        <f>E156/D156</f>
        <v>0.24489795918367346</v>
      </c>
      <c r="G156" s="228">
        <f>SUM($T71:$T119)</f>
        <v>12</v>
      </c>
      <c r="H156" s="230">
        <f>G156/$D156</f>
        <v>0.24489795918367346</v>
      </c>
      <c r="R156" s="39"/>
      <c r="S156" s="418"/>
      <c r="Z156" s="18"/>
    </row>
    <row r="157" spans="3:26" ht="12.75">
      <c r="C157" s="222" t="s">
        <v>45</v>
      </c>
      <c r="D157" s="227">
        <f>COUNT($S120:$S142)</f>
        <v>23</v>
      </c>
      <c r="E157" s="228">
        <f>SUM($S120:$S142)</f>
        <v>7</v>
      </c>
      <c r="F157" s="229">
        <f>E157/D157</f>
        <v>0.30434782608695654</v>
      </c>
      <c r="G157" s="228">
        <f>SUM($T120:$T142)</f>
        <v>6</v>
      </c>
      <c r="H157" s="230">
        <f>G157/$D157</f>
        <v>0.2608695652173913</v>
      </c>
      <c r="R157" s="39"/>
      <c r="S157" s="418"/>
      <c r="Z157" s="18"/>
    </row>
    <row r="158" spans="3:26" ht="12.75">
      <c r="C158" s="224"/>
      <c r="D158" s="231"/>
      <c r="E158" s="72"/>
      <c r="F158" s="232"/>
      <c r="G158" s="72"/>
      <c r="H158" s="233"/>
      <c r="R158" s="39"/>
      <c r="S158" s="418"/>
      <c r="Z158" s="18"/>
    </row>
    <row r="159" spans="1:26" ht="12.75">
      <c r="A159" s="18"/>
      <c r="C159" s="234" t="s">
        <v>50</v>
      </c>
      <c r="D159" s="235">
        <f>SUM(D153:D157)</f>
        <v>141</v>
      </c>
      <c r="E159" s="236">
        <f>SUM(E153:E157)</f>
        <v>35</v>
      </c>
      <c r="F159" s="336">
        <f>E159/D159</f>
        <v>0.24822695035460993</v>
      </c>
      <c r="G159" s="236">
        <f>SUM(G153:G157)</f>
        <v>33</v>
      </c>
      <c r="H159" s="336">
        <f>G159/D159</f>
        <v>0.23404255319148937</v>
      </c>
      <c r="R159" s="39"/>
      <c r="S159" s="418"/>
      <c r="Z159" s="18"/>
    </row>
    <row r="160" spans="3:26" ht="12.75">
      <c r="C160" s="368" t="s">
        <v>247</v>
      </c>
      <c r="D160" s="227">
        <f>COUNT($S11:$S119)</f>
        <v>109</v>
      </c>
      <c r="E160" s="228">
        <f>SUM($S11:$S119)</f>
        <v>26</v>
      </c>
      <c r="F160" s="229">
        <f>E160/D160</f>
        <v>0.23853211009174313</v>
      </c>
      <c r="G160" s="228">
        <f>SUM($T11:$T119)</f>
        <v>26</v>
      </c>
      <c r="H160" s="230">
        <f>G160/$D160</f>
        <v>0.23853211009174313</v>
      </c>
      <c r="R160" s="39"/>
      <c r="S160" s="418"/>
      <c r="Z160" s="18"/>
    </row>
    <row r="161" spans="4:26" ht="12.75">
      <c r="D161" s="18"/>
      <c r="F161" s="18"/>
      <c r="K161" s="18"/>
      <c r="R161" s="39"/>
      <c r="S161" s="418"/>
      <c r="Z161" s="18"/>
    </row>
    <row r="162" spans="18:19" ht="12.75">
      <c r="R162" s="39"/>
      <c r="S162" s="418"/>
    </row>
    <row r="163" spans="18:19" ht="12.75">
      <c r="R163" s="39"/>
      <c r="S163" s="418"/>
    </row>
    <row r="164" spans="18:19" ht="12.75">
      <c r="R164" s="39"/>
      <c r="S164" s="418"/>
    </row>
    <row r="165" spans="18:19" ht="12.75">
      <c r="R165" s="39"/>
      <c r="S165" s="418"/>
    </row>
    <row r="166" spans="18:19" ht="12.75">
      <c r="R166" s="39"/>
      <c r="S166" s="418"/>
    </row>
    <row r="167" spans="18:19" ht="12.75">
      <c r="R167" s="39"/>
      <c r="S167" s="418"/>
    </row>
    <row r="168" ht="12.75">
      <c r="R168" s="39"/>
    </row>
    <row r="169" ht="12.75">
      <c r="R169" s="39"/>
    </row>
    <row r="170" ht="12.75">
      <c r="R170" s="39"/>
    </row>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spans="1:3" ht="12.75">
      <c r="A193" s="3"/>
      <c r="B193" s="3"/>
      <c r="C193" s="3"/>
    </row>
    <row r="194" spans="1:3" ht="12.75">
      <c r="A194" s="3"/>
      <c r="B194" s="3"/>
      <c r="C194" s="3"/>
    </row>
    <row r="195" spans="1:3" ht="12.75">
      <c r="A195" s="3"/>
      <c r="B195" s="3"/>
      <c r="C195" s="3"/>
    </row>
    <row r="196" spans="1:3" ht="12.75">
      <c r="A196" s="3"/>
      <c r="B196" s="3"/>
      <c r="C196" s="3"/>
    </row>
    <row r="197" spans="1:3" ht="12.75">
      <c r="A197" s="3"/>
      <c r="B197" s="3"/>
      <c r="C197" s="3"/>
    </row>
    <row r="198" spans="1:3" ht="12.75">
      <c r="A198" s="3"/>
      <c r="B198" s="3"/>
      <c r="C198" s="3"/>
    </row>
    <row r="199" spans="1:3" ht="12.75">
      <c r="A199" s="3"/>
      <c r="B199" s="3"/>
      <c r="C199" s="3"/>
    </row>
    <row r="200" spans="1:3" ht="12.75">
      <c r="A200" s="3"/>
      <c r="B200" s="3"/>
      <c r="C200" s="3"/>
    </row>
    <row r="201" spans="1:3" ht="12.75">
      <c r="A201" s="3"/>
      <c r="B201" s="3"/>
      <c r="C201" s="3"/>
    </row>
    <row r="202" spans="1:3" ht="12.75">
      <c r="A202" s="3"/>
      <c r="B202" s="3"/>
      <c r="C202" s="3"/>
    </row>
    <row r="203" spans="1:3" ht="12.75">
      <c r="A203" s="3"/>
      <c r="B203" s="3"/>
      <c r="C203" s="3"/>
    </row>
    <row r="204" spans="1:3" ht="12.75">
      <c r="A204" s="3"/>
      <c r="B204" s="3"/>
      <c r="C204" s="3"/>
    </row>
    <row r="205" spans="1:3" ht="12.75">
      <c r="A205" s="3"/>
      <c r="B205" s="3"/>
      <c r="C205" s="3"/>
    </row>
    <row r="206" spans="1:3" ht="12.75">
      <c r="A206" s="3"/>
      <c r="B206" s="3"/>
      <c r="C206" s="3"/>
    </row>
    <row r="207" spans="1:3" ht="12.75">
      <c r="A207" s="3"/>
      <c r="B207" s="3"/>
      <c r="C207" s="3"/>
    </row>
    <row r="208" spans="1:3" ht="12.75">
      <c r="A208" s="3"/>
      <c r="B208" s="3"/>
      <c r="C208" s="3"/>
    </row>
    <row r="209" spans="1:3" ht="12.75">
      <c r="A209" s="3"/>
      <c r="B209" s="3"/>
      <c r="C209" s="3"/>
    </row>
    <row r="210" spans="1:3" ht="12.75">
      <c r="A210" s="3"/>
      <c r="B210" s="3"/>
      <c r="C210" s="3"/>
    </row>
    <row r="211" spans="1:3" ht="12.75">
      <c r="A211" s="3"/>
      <c r="B211" s="3"/>
      <c r="C211" s="3"/>
    </row>
    <row r="212" spans="1:3" ht="12.75">
      <c r="A212" s="3"/>
      <c r="B212" s="3"/>
      <c r="C212" s="3"/>
    </row>
    <row r="213" spans="1:3" ht="12.75">
      <c r="A213" s="3"/>
      <c r="B213" s="3"/>
      <c r="C213" s="3"/>
    </row>
    <row r="214" spans="1:3" ht="12.75">
      <c r="A214" s="3"/>
      <c r="B214" s="3"/>
      <c r="C214" s="3"/>
    </row>
    <row r="215" spans="1:3" ht="12.75">
      <c r="A215" s="3"/>
      <c r="B215" s="3"/>
      <c r="C215" s="3"/>
    </row>
    <row r="216" spans="1:3" ht="12.75">
      <c r="A216" s="3"/>
      <c r="B216" s="3"/>
      <c r="C216" s="3"/>
    </row>
    <row r="217" spans="1:3" ht="12.75">
      <c r="A217" s="3"/>
      <c r="B217" s="3"/>
      <c r="C217" s="3"/>
    </row>
    <row r="218" spans="1:3" ht="12.75">
      <c r="A218" s="3"/>
      <c r="B218" s="3"/>
      <c r="C218" s="3"/>
    </row>
    <row r="219" spans="1:3" ht="12.75">
      <c r="A219" s="3"/>
      <c r="B219" s="3"/>
      <c r="C219" s="3"/>
    </row>
    <row r="220" spans="1:3" ht="12.75">
      <c r="A220" s="3"/>
      <c r="B220" s="3"/>
      <c r="C220" s="3"/>
    </row>
    <row r="221" spans="1:3" ht="12.75">
      <c r="A221" s="3"/>
      <c r="B221" s="3"/>
      <c r="C221" s="3"/>
    </row>
    <row r="222" spans="1:3" ht="12.75">
      <c r="A222" s="3"/>
      <c r="B222" s="3"/>
      <c r="C222" s="3"/>
    </row>
    <row r="223" spans="1:3" ht="12.75">
      <c r="A223" s="3"/>
      <c r="B223" s="3"/>
      <c r="C223" s="3"/>
    </row>
    <row r="224" spans="1:3" ht="12.75">
      <c r="A224" s="3"/>
      <c r="B224" s="3"/>
      <c r="C224" s="3"/>
    </row>
    <row r="225" spans="1:3" ht="12.75">
      <c r="A225" s="3"/>
      <c r="B225" s="3"/>
      <c r="C225" s="3"/>
    </row>
    <row r="226" spans="1:3" ht="12.75">
      <c r="A226" s="3"/>
      <c r="B226" s="3"/>
      <c r="C226" s="3"/>
    </row>
    <row r="227" spans="1:3" ht="12.75">
      <c r="A227" s="3"/>
      <c r="B227" s="3"/>
      <c r="C227" s="3"/>
    </row>
    <row r="228" spans="1:3" ht="12.75">
      <c r="A228" s="3"/>
      <c r="B228" s="3"/>
      <c r="C228" s="3"/>
    </row>
    <row r="229" spans="1:3" ht="12.75">
      <c r="A229" s="3"/>
      <c r="B229" s="3"/>
      <c r="C229" s="3"/>
    </row>
    <row r="230" spans="1:3" ht="12.75">
      <c r="A230" s="3"/>
      <c r="B230" s="3"/>
      <c r="C230" s="3"/>
    </row>
    <row r="231" spans="1:3" ht="12.75">
      <c r="A231" s="3"/>
      <c r="B231" s="3"/>
      <c r="C231" s="3"/>
    </row>
    <row r="232" spans="1:3" ht="12.75">
      <c r="A232" s="3"/>
      <c r="B232" s="3"/>
      <c r="C232" s="3"/>
    </row>
    <row r="233" spans="1:3" ht="12.75">
      <c r="A233" s="3"/>
      <c r="B233" s="3"/>
      <c r="C233" s="3"/>
    </row>
    <row r="234" spans="1:3" ht="12.75">
      <c r="A234" s="3"/>
      <c r="B234" s="3"/>
      <c r="C234" s="3"/>
    </row>
    <row r="235" spans="1:3" ht="12.75">
      <c r="A235" s="3"/>
      <c r="B235" s="3"/>
      <c r="C235" s="3"/>
    </row>
    <row r="236" spans="1:3" ht="12.75">
      <c r="A236" s="3"/>
      <c r="B236" s="3"/>
      <c r="C236" s="3"/>
    </row>
    <row r="237" spans="1:3" ht="12.75">
      <c r="A237" s="3"/>
      <c r="B237" s="3"/>
      <c r="C237" s="3"/>
    </row>
    <row r="238" spans="1:3" ht="12.75">
      <c r="A238" s="3"/>
      <c r="B238" s="3"/>
      <c r="C238" s="3"/>
    </row>
    <row r="239" spans="1:3" ht="12.75">
      <c r="A239" s="3"/>
      <c r="B239" s="3"/>
      <c r="C239" s="3"/>
    </row>
    <row r="240" spans="1:3" ht="12.75">
      <c r="A240" s="3"/>
      <c r="B240" s="3"/>
      <c r="C240" s="3"/>
    </row>
    <row r="241" spans="1:3" ht="12.75">
      <c r="A241" s="3"/>
      <c r="B241" s="3"/>
      <c r="C241" s="3"/>
    </row>
    <row r="242" spans="1:3" ht="12.75">
      <c r="A242" s="3"/>
      <c r="B242" s="3"/>
      <c r="C242" s="3"/>
    </row>
    <row r="243" spans="1:3" ht="12.75">
      <c r="A243" s="3"/>
      <c r="B243" s="3"/>
      <c r="C243" s="3"/>
    </row>
    <row r="244" spans="1:3" ht="12.75">
      <c r="A244" s="3"/>
      <c r="B244" s="3"/>
      <c r="C244" s="3"/>
    </row>
    <row r="245" spans="1:3" ht="12.75">
      <c r="A245" s="3"/>
      <c r="B245" s="3"/>
      <c r="C245" s="3"/>
    </row>
    <row r="246" spans="1:3" ht="12.75">
      <c r="A246" s="3"/>
      <c r="B246" s="3"/>
      <c r="C246" s="3"/>
    </row>
    <row r="247" spans="1:3" ht="12.75">
      <c r="A247" s="3"/>
      <c r="B247" s="3"/>
      <c r="C247" s="3"/>
    </row>
    <row r="248" spans="1:3" ht="12.75">
      <c r="A248" s="3"/>
      <c r="B248" s="3"/>
      <c r="C248" s="3"/>
    </row>
    <row r="249" spans="1:3" ht="12.75">
      <c r="A249" s="3"/>
      <c r="B249" s="3"/>
      <c r="C249" s="3"/>
    </row>
    <row r="250" spans="1:3" ht="12.75">
      <c r="A250" s="3"/>
      <c r="B250" s="3"/>
      <c r="C250" s="3"/>
    </row>
    <row r="251" spans="1:3" ht="12.75">
      <c r="A251" s="3"/>
      <c r="B251" s="3"/>
      <c r="C251" s="3"/>
    </row>
    <row r="252" spans="1:3" ht="12.75">
      <c r="A252" s="3"/>
      <c r="B252" s="3"/>
      <c r="C252" s="3"/>
    </row>
    <row r="253" spans="1:3" ht="12.75">
      <c r="A253" s="3"/>
      <c r="B253" s="3"/>
      <c r="C253" s="3"/>
    </row>
    <row r="254" spans="1:3" ht="12.75">
      <c r="A254" s="3"/>
      <c r="B254" s="3"/>
      <c r="C254" s="3"/>
    </row>
    <row r="255" spans="1:3" ht="12.75">
      <c r="A255" s="3"/>
      <c r="B255" s="3"/>
      <c r="C255" s="3"/>
    </row>
    <row r="256" ht="12.75">
      <c r="C256" s="3"/>
    </row>
  </sheetData>
  <printOptions/>
  <pageMargins left="0.75" right="0.75" top="1" bottom="1" header="0.5" footer="0.5"/>
  <pageSetup horizontalDpi="1200" verticalDpi="1200" orientation="landscape" scale="50" r:id="rId1"/>
</worksheet>
</file>

<file path=xl/worksheets/sheet7.xml><?xml version="1.0" encoding="utf-8"?>
<worksheet xmlns="http://schemas.openxmlformats.org/spreadsheetml/2006/main" xmlns:r="http://schemas.openxmlformats.org/officeDocument/2006/relationships">
  <sheetPr codeName="Sheet9"/>
  <dimension ref="A1:L45"/>
  <sheetViews>
    <sheetView workbookViewId="0" topLeftCell="A1">
      <selection activeCell="I50" sqref="I50"/>
    </sheetView>
  </sheetViews>
  <sheetFormatPr defaultColWidth="9.140625" defaultRowHeight="12.75"/>
  <cols>
    <col min="1" max="1" width="16.140625" style="0" customWidth="1"/>
    <col min="2" max="2" width="28.00390625" style="0" customWidth="1"/>
    <col min="3" max="3" width="16.00390625" style="0" customWidth="1"/>
    <col min="4" max="4" width="15.421875" style="0" customWidth="1"/>
    <col min="5" max="5" width="16.00390625" style="0" customWidth="1"/>
    <col min="6" max="6" width="13.28125" style="0" customWidth="1"/>
    <col min="7" max="7" width="28.140625" style="0" customWidth="1"/>
  </cols>
  <sheetData>
    <row r="1" ht="12.75">
      <c r="A1" s="34" t="s">
        <v>56</v>
      </c>
    </row>
    <row r="2" spans="2:12" ht="12.75">
      <c r="B2" s="345" t="s">
        <v>61</v>
      </c>
      <c r="C2" s="343"/>
      <c r="D2" s="343"/>
      <c r="E2" s="343"/>
      <c r="F2" s="343"/>
      <c r="G2" s="343"/>
      <c r="H2" s="343"/>
      <c r="I2" s="344"/>
      <c r="J2" s="312" t="s">
        <v>237</v>
      </c>
      <c r="K2" s="313"/>
      <c r="L2" s="314"/>
    </row>
    <row r="3" spans="2:12" ht="12.75">
      <c r="B3" s="315"/>
      <c r="C3" s="340" t="s">
        <v>59</v>
      </c>
      <c r="D3" s="341"/>
      <c r="E3" s="341"/>
      <c r="F3" s="341"/>
      <c r="G3" s="341"/>
      <c r="H3" s="341"/>
      <c r="I3" s="342"/>
      <c r="J3" s="315"/>
      <c r="K3" s="72"/>
      <c r="L3" s="316"/>
    </row>
    <row r="4" spans="2:12" ht="12.75">
      <c r="B4" s="315"/>
      <c r="C4" s="23">
        <v>0.79</v>
      </c>
      <c r="D4" s="24" t="s">
        <v>57</v>
      </c>
      <c r="E4" s="24">
        <v>1.296</v>
      </c>
      <c r="F4" s="24">
        <v>1.31</v>
      </c>
      <c r="G4" s="24">
        <v>1.764</v>
      </c>
      <c r="H4" s="24">
        <v>2.3</v>
      </c>
      <c r="I4" s="308" t="s">
        <v>58</v>
      </c>
      <c r="J4" s="315"/>
      <c r="K4" s="72"/>
      <c r="L4" s="316"/>
    </row>
    <row r="5" spans="2:12" ht="12.75">
      <c r="B5" s="323" t="s">
        <v>47</v>
      </c>
      <c r="C5" s="25">
        <f>AVERAGE('Spec Analysis_ScreenSize'!$U$11:$U$18)</f>
        <v>15.962250000000001</v>
      </c>
      <c r="D5" s="26">
        <f>AVERAGE('Spec Analysis_ScreenSize'!$U19:$U22)</f>
        <v>13.485</v>
      </c>
      <c r="E5" s="26"/>
      <c r="F5" s="26"/>
      <c r="G5" s="26"/>
      <c r="H5" s="26"/>
      <c r="I5" s="309">
        <f>COUNT('Spec Analysis_ScreenSize'!M11:M22)</f>
        <v>12</v>
      </c>
      <c r="J5" s="306">
        <f>AVERAGE('Spec Analysis_ScreenSize'!$U$11:$U$22)</f>
        <v>15.136499999999998</v>
      </c>
      <c r="K5" s="304"/>
      <c r="L5" s="317"/>
    </row>
    <row r="6" spans="2:12" ht="12.75">
      <c r="B6" s="323" t="s">
        <v>43</v>
      </c>
      <c r="C6" s="25"/>
      <c r="D6" s="26">
        <f>('Spec Analysis_ScreenSize'!$U$23)</f>
        <v>19.782000000000004</v>
      </c>
      <c r="E6" s="26">
        <f>AVERAGE('Spec Analysis_ScreenSize'!$U24:$U27)</f>
        <v>18.27421304625263</v>
      </c>
      <c r="F6" s="26">
        <f>AVERAGE('Spec Analysis_ScreenSize'!$U28:$U45)</f>
        <v>24.55185024370286</v>
      </c>
      <c r="G6" s="26"/>
      <c r="H6" s="26"/>
      <c r="I6" s="310">
        <f>COUNT('Spec Analysis_ScreenSize'!M23:M45)</f>
        <v>23</v>
      </c>
      <c r="J6" s="306">
        <f>AVERAGE('Spec Analysis_ScreenSize'!$U$23:$U$45)</f>
        <v>23.252702459637476</v>
      </c>
      <c r="K6" s="304"/>
      <c r="L6" s="318"/>
    </row>
    <row r="7" spans="2:12" ht="12.75">
      <c r="B7" s="323" t="s">
        <v>44</v>
      </c>
      <c r="C7" s="25"/>
      <c r="D7" s="26"/>
      <c r="E7" s="26">
        <f>AVERAGE('Spec Analysis_ScreenSize'!$U46:$U60,'Spec Analysis_ScreenSize'!$U69:$U70)</f>
        <v>26.76575346312937</v>
      </c>
      <c r="F7" s="26">
        <f>AVERAGE('Spec Analysis_ScreenSize'!$U61:$U68)</f>
        <v>29.39118532242683</v>
      </c>
      <c r="G7" s="26"/>
      <c r="H7" s="26"/>
      <c r="I7" s="310">
        <f>COUNT('Spec Analysis_ScreenSize'!M46:M70)</f>
        <v>25</v>
      </c>
      <c r="J7" s="306">
        <f>AVERAGE('Spec Analysis_ScreenSize'!$U$46:$U$70)</f>
        <v>27.60589165810455</v>
      </c>
      <c r="K7" s="304"/>
      <c r="L7" s="318"/>
    </row>
    <row r="8" spans="2:12" ht="12.75">
      <c r="B8" s="338" t="s">
        <v>228</v>
      </c>
      <c r="C8" s="27"/>
      <c r="D8" s="28"/>
      <c r="E8" s="28"/>
      <c r="F8" s="28"/>
      <c r="G8" s="28">
        <f>AVERAGE('Spec Analysis_ScreenSize'!$U71:$U102)</f>
        <v>31.647083263972473</v>
      </c>
      <c r="H8" s="28">
        <f>AVERAGE('Spec Analysis_ScreenSize'!$U$103:$U$119)</f>
        <v>51.716645047272465</v>
      </c>
      <c r="I8" s="311">
        <f>COUNT('Spec Analysis_ScreenSize'!M71:M119)</f>
        <v>49</v>
      </c>
      <c r="J8" s="319">
        <f>AVERAGE('Spec Analysis_ScreenSize'!$U$71:$U$119)</f>
        <v>38.60999245409696</v>
      </c>
      <c r="K8" s="305"/>
      <c r="L8" s="320"/>
    </row>
    <row r="9" spans="2:12" ht="12.75">
      <c r="B9" s="315"/>
      <c r="L9" s="314"/>
    </row>
    <row r="10" spans="2:12" ht="12.75">
      <c r="B10" s="315"/>
      <c r="I10" s="17">
        <f>SUM(I5:I8)</f>
        <v>109</v>
      </c>
      <c r="L10" s="316"/>
    </row>
    <row r="11" spans="2:12" ht="12.75">
      <c r="B11" s="315"/>
      <c r="L11" s="316"/>
    </row>
    <row r="12" spans="2:12" ht="12.75">
      <c r="B12" s="315"/>
      <c r="L12" s="316"/>
    </row>
    <row r="13" spans="2:12" ht="12.75">
      <c r="B13" s="339" t="s">
        <v>62</v>
      </c>
      <c r="L13" s="316"/>
    </row>
    <row r="14" spans="2:12" ht="12.75">
      <c r="B14" s="315"/>
      <c r="C14" s="21" t="s">
        <v>59</v>
      </c>
      <c r="D14" s="22"/>
      <c r="E14" s="22"/>
      <c r="F14" s="22"/>
      <c r="G14" s="22"/>
      <c r="H14" s="22"/>
      <c r="I14" s="29"/>
      <c r="J14" s="312" t="s">
        <v>237</v>
      </c>
      <c r="K14" s="313"/>
      <c r="L14" s="314"/>
    </row>
    <row r="15" spans="2:12" ht="12.75">
      <c r="B15" s="315"/>
      <c r="C15" s="23">
        <v>0.79</v>
      </c>
      <c r="D15" s="24" t="s">
        <v>57</v>
      </c>
      <c r="E15" s="24">
        <v>1.296</v>
      </c>
      <c r="F15" s="24">
        <v>1.31</v>
      </c>
      <c r="G15" s="24">
        <v>1.764</v>
      </c>
      <c r="H15" s="24">
        <v>2.3</v>
      </c>
      <c r="I15" s="30" t="s">
        <v>58</v>
      </c>
      <c r="J15" s="315"/>
      <c r="K15" s="72"/>
      <c r="L15" s="316"/>
    </row>
    <row r="16" spans="2:12" ht="12.75">
      <c r="B16" s="323" t="s">
        <v>47</v>
      </c>
      <c r="C16" s="25">
        <f>AVERAGE('Spec Analysis_ScreenSize'!V$11:V$18)</f>
        <v>13.2173986485833</v>
      </c>
      <c r="D16" s="26">
        <f>AVERAGE('Spec Analysis_ScreenSize'!V$19:V$22)</f>
        <v>13.485</v>
      </c>
      <c r="E16" s="26"/>
      <c r="F16" s="26"/>
      <c r="G16" s="26"/>
      <c r="H16" s="26"/>
      <c r="I16" s="31">
        <f>COUNT('Spec Analysis_ScreenSize'!R11:R22)</f>
        <v>12</v>
      </c>
      <c r="J16" s="306">
        <f>AVERAGE('Spec Analysis_ScreenSize'!$V$11:$V$22)</f>
        <v>13.306599099055532</v>
      </c>
      <c r="K16" s="304"/>
      <c r="L16" s="317"/>
    </row>
    <row r="17" spans="2:12" ht="12.75">
      <c r="B17" s="323" t="s">
        <v>43</v>
      </c>
      <c r="C17" s="25"/>
      <c r="D17" s="26">
        <f>('Spec Analysis_ScreenSize'!V$23)</f>
        <v>14.5296</v>
      </c>
      <c r="E17" s="26">
        <f>AVERAGE('Spec Analysis_ScreenSize'!V$24:V$27)</f>
        <v>18.27421304625263</v>
      </c>
      <c r="F17" s="26">
        <f>AVERAGE('Spec Analysis_ScreenSize'!V$28:V$45)</f>
        <v>21.704092818378975</v>
      </c>
      <c r="G17" s="26"/>
      <c r="H17" s="26"/>
      <c r="I17" s="32">
        <f>COUNT('Spec Analysis_ScreenSize'!R23:R45)</f>
        <v>23</v>
      </c>
      <c r="J17" s="306">
        <f>AVERAGE('Spec Analysis_ScreenSize'!$V$23:$V$45)</f>
        <v>20.795657518079658</v>
      </c>
      <c r="K17" s="304"/>
      <c r="L17" s="318"/>
    </row>
    <row r="18" spans="2:12" ht="12.75">
      <c r="B18" s="323" t="s">
        <v>44</v>
      </c>
      <c r="C18" s="25"/>
      <c r="D18" s="26"/>
      <c r="E18" s="26">
        <f>AVERAGE('Spec Analysis_ScreenSize'!V$46:V$60,'Spec Analysis_ScreenSize'!V$69:V$70)</f>
        <v>22.094567604714285</v>
      </c>
      <c r="F18" s="26">
        <f>AVERAGE('Spec Analysis_ScreenSize'!V$61:V$68)</f>
        <v>24.073307958783108</v>
      </c>
      <c r="G18" s="26"/>
      <c r="H18" s="26"/>
      <c r="I18" s="32">
        <f>COUNT('Spec Analysis_ScreenSize'!R46:R70)</f>
        <v>25</v>
      </c>
      <c r="J18" s="306">
        <f>AVERAGE('Spec Analysis_ScreenSize'!$V$46:$V$70)</f>
        <v>22.727764518016308</v>
      </c>
      <c r="K18" s="304"/>
      <c r="L18" s="318"/>
    </row>
    <row r="19" spans="2:12" ht="12.75">
      <c r="B19" s="338" t="s">
        <v>228</v>
      </c>
      <c r="C19" s="27"/>
      <c r="D19" s="28"/>
      <c r="E19" s="28"/>
      <c r="F19" s="28"/>
      <c r="G19" s="28">
        <f>AVERAGE('Spec Analysis_ScreenSize'!V$71:V$102)</f>
        <v>29.366024059114498</v>
      </c>
      <c r="H19" s="28">
        <f>AVERAGE('Spec Analysis_ScreenSize'!V$103:V$119)</f>
        <v>37.71028644254711</v>
      </c>
      <c r="I19" s="33">
        <f>COUNT('Spec Analysis_ScreenSize'!R71:R119)</f>
        <v>49</v>
      </c>
      <c r="J19" s="319">
        <f>AVERAGE('Spec Analysis_ScreenSize'!$V$71:$V$119)</f>
        <v>32.26097223295847</v>
      </c>
      <c r="K19" s="305"/>
      <c r="L19" s="320"/>
    </row>
    <row r="20" spans="2:12" ht="12.75">
      <c r="B20" s="315"/>
      <c r="L20" s="316"/>
    </row>
    <row r="21" spans="2:12" ht="12.75">
      <c r="B21" s="315"/>
      <c r="I21" s="17">
        <f>SUM(I16:I19)</f>
        <v>109</v>
      </c>
      <c r="L21" s="316"/>
    </row>
    <row r="22" spans="2:12" ht="12.75">
      <c r="B22" s="315"/>
      <c r="L22" s="316"/>
    </row>
    <row r="23" spans="2:12" ht="12.75">
      <c r="B23" s="339" t="s">
        <v>60</v>
      </c>
      <c r="J23" s="312" t="s">
        <v>237</v>
      </c>
      <c r="K23" s="313"/>
      <c r="L23" s="314"/>
    </row>
    <row r="24" spans="2:12" ht="12.75">
      <c r="B24" s="315"/>
      <c r="C24" s="21" t="s">
        <v>59</v>
      </c>
      <c r="D24" s="22"/>
      <c r="E24" s="22"/>
      <c r="F24" s="22"/>
      <c r="G24" s="22"/>
      <c r="H24" s="22"/>
      <c r="I24" s="307"/>
      <c r="J24" s="315"/>
      <c r="K24" s="72"/>
      <c r="L24" s="316"/>
    </row>
    <row r="25" spans="2:12" ht="12.75">
      <c r="B25" s="315"/>
      <c r="C25" s="23">
        <v>0.79</v>
      </c>
      <c r="D25" s="24" t="s">
        <v>57</v>
      </c>
      <c r="E25" s="24">
        <v>1.296</v>
      </c>
      <c r="F25" s="24">
        <v>1.31</v>
      </c>
      <c r="G25" s="24">
        <v>1.764</v>
      </c>
      <c r="H25" s="24">
        <v>2.3</v>
      </c>
      <c r="I25" s="308" t="s">
        <v>58</v>
      </c>
      <c r="J25" s="315"/>
      <c r="K25" s="72"/>
      <c r="L25" s="316"/>
    </row>
    <row r="26" spans="2:12" ht="12.75">
      <c r="B26" s="323" t="s">
        <v>47</v>
      </c>
      <c r="C26" s="25">
        <f>C5-C16</f>
        <v>2.744851351416701</v>
      </c>
      <c r="D26" s="26">
        <f>D5-D16</f>
        <v>0</v>
      </c>
      <c r="E26" s="26"/>
      <c r="F26" s="26"/>
      <c r="G26" s="26"/>
      <c r="H26" s="26"/>
      <c r="I26" s="309">
        <f>COUNT('Spec Analysis_ScreenSize'!R11:R22)</f>
        <v>12</v>
      </c>
      <c r="J26" s="306">
        <f>J5-J16</f>
        <v>1.829900900944466</v>
      </c>
      <c r="K26" s="72"/>
      <c r="L26" s="316"/>
    </row>
    <row r="27" spans="2:12" ht="12.75">
      <c r="B27" s="323" t="s">
        <v>43</v>
      </c>
      <c r="C27" s="25"/>
      <c r="D27" s="26">
        <f>D6-D17</f>
        <v>5.252400000000003</v>
      </c>
      <c r="E27" s="26">
        <f>E6-E17</f>
        <v>0</v>
      </c>
      <c r="F27" s="26">
        <f>F6-F17</f>
        <v>2.847757425323884</v>
      </c>
      <c r="G27" s="26"/>
      <c r="H27" s="26"/>
      <c r="I27" s="310">
        <f>COUNT('Spec Analysis_ScreenSize'!R23:R45)</f>
        <v>23</v>
      </c>
      <c r="J27" s="306">
        <f>J6-J17</f>
        <v>2.457044941557818</v>
      </c>
      <c r="K27" s="72"/>
      <c r="L27" s="316"/>
    </row>
    <row r="28" spans="2:12" ht="12.75">
      <c r="B28" s="323" t="s">
        <v>44</v>
      </c>
      <c r="C28" s="25"/>
      <c r="D28" s="26"/>
      <c r="E28" s="26">
        <f>E7-E18</f>
        <v>4.671185858415086</v>
      </c>
      <c r="F28" s="26">
        <f>F7-F18</f>
        <v>5.317877363643721</v>
      </c>
      <c r="G28" s="26"/>
      <c r="H28" s="26"/>
      <c r="I28" s="310">
        <f>COUNT('Spec Analysis_ScreenSize'!R46:R70)</f>
        <v>25</v>
      </c>
      <c r="J28" s="306">
        <f>J7-J18</f>
        <v>4.878127140088242</v>
      </c>
      <c r="K28" s="72"/>
      <c r="L28" s="316"/>
    </row>
    <row r="29" spans="2:12" ht="12.75">
      <c r="B29" s="338" t="s">
        <v>228</v>
      </c>
      <c r="C29" s="27"/>
      <c r="D29" s="28"/>
      <c r="E29" s="28"/>
      <c r="F29" s="28"/>
      <c r="G29" s="28">
        <f>G8-G19</f>
        <v>2.281059204857975</v>
      </c>
      <c r="H29" s="28">
        <f>H8-H19</f>
        <v>14.006358604725357</v>
      </c>
      <c r="I29" s="311">
        <f>COUNT('Spec Analysis_ScreenSize'!R71:R119)</f>
        <v>49</v>
      </c>
      <c r="J29" s="319">
        <f>J8-J19</f>
        <v>6.349020221138488</v>
      </c>
      <c r="K29" s="321"/>
      <c r="L29" s="322"/>
    </row>
    <row r="30" spans="2:12" ht="12.75">
      <c r="B30" s="315"/>
      <c r="J30" s="347"/>
      <c r="L30" s="316"/>
    </row>
    <row r="31" spans="2:12" ht="12.75">
      <c r="B31" s="315"/>
      <c r="I31" s="17">
        <f>SUM(I26:I29)</f>
        <v>109</v>
      </c>
      <c r="J31" s="347"/>
      <c r="L31" s="316"/>
    </row>
    <row r="32" spans="2:12" ht="12.75">
      <c r="B32" s="339" t="s">
        <v>63</v>
      </c>
      <c r="J32" s="347"/>
      <c r="L32" s="316"/>
    </row>
    <row r="33" spans="2:12" ht="12.75">
      <c r="B33" s="315"/>
      <c r="C33" s="21" t="s">
        <v>59</v>
      </c>
      <c r="D33" s="22"/>
      <c r="E33" s="22"/>
      <c r="F33" s="22"/>
      <c r="G33" s="22"/>
      <c r="H33" s="22"/>
      <c r="I33" s="307"/>
      <c r="J33" s="351" t="s">
        <v>192</v>
      </c>
      <c r="K33" s="313"/>
      <c r="L33" s="314"/>
    </row>
    <row r="34" spans="2:12" ht="12.75">
      <c r="B34" s="315"/>
      <c r="C34" s="23">
        <v>0.79</v>
      </c>
      <c r="D34" s="24" t="s">
        <v>57</v>
      </c>
      <c r="E34" s="24">
        <v>1.296</v>
      </c>
      <c r="F34" s="24">
        <v>1.31</v>
      </c>
      <c r="G34" s="24">
        <v>1.764</v>
      </c>
      <c r="H34" s="24">
        <v>2.3</v>
      </c>
      <c r="I34" s="308" t="s">
        <v>58</v>
      </c>
      <c r="J34" s="348"/>
      <c r="K34" s="72"/>
      <c r="L34" s="316"/>
    </row>
    <row r="35" spans="2:12" ht="12.75">
      <c r="B35" s="323" t="s">
        <v>47</v>
      </c>
      <c r="C35" s="241">
        <f>C26/C5</f>
        <v>0.17195892505233915</v>
      </c>
      <c r="D35" s="213">
        <f>D26/D5</f>
        <v>0</v>
      </c>
      <c r="E35" s="26"/>
      <c r="F35" s="26"/>
      <c r="G35" s="26"/>
      <c r="H35" s="26"/>
      <c r="I35" s="309">
        <f>COUNT('Spec Analysis_ScreenSize'!R11:R22)</f>
        <v>12</v>
      </c>
      <c r="J35" s="349">
        <f>J26/J5</f>
        <v>0.12089326468764022</v>
      </c>
      <c r="K35" s="72"/>
      <c r="L35" s="316"/>
    </row>
    <row r="36" spans="2:12" ht="12.75">
      <c r="B36" s="323" t="s">
        <v>43</v>
      </c>
      <c r="C36" s="25"/>
      <c r="D36" s="213">
        <f>D27/D6</f>
        <v>0.26551410373066436</v>
      </c>
      <c r="E36" s="213">
        <f>E27/E6</f>
        <v>0</v>
      </c>
      <c r="F36" s="213">
        <f>F27/F6</f>
        <v>0.11598952409113389</v>
      </c>
      <c r="G36" s="26"/>
      <c r="H36" s="26"/>
      <c r="I36" s="310">
        <f>COUNT('Spec Analysis_ScreenSize'!R23:R45)</f>
        <v>23</v>
      </c>
      <c r="J36" s="349">
        <f>J27/J6</f>
        <v>0.10566707013186136</v>
      </c>
      <c r="K36" s="72"/>
      <c r="L36" s="316"/>
    </row>
    <row r="37" spans="2:12" ht="12.75">
      <c r="B37" s="323" t="s">
        <v>44</v>
      </c>
      <c r="C37" s="25"/>
      <c r="D37" s="26"/>
      <c r="E37" s="213">
        <f>E28/E7</f>
        <v>0.17452099246336497</v>
      </c>
      <c r="F37" s="213">
        <f>F28/F7</f>
        <v>0.1809344300104132</v>
      </c>
      <c r="G37" s="26"/>
      <c r="H37" s="26"/>
      <c r="I37" s="310">
        <f>COUNT('Spec Analysis_ScreenSize'!R46:R70)</f>
        <v>25</v>
      </c>
      <c r="J37" s="349">
        <f>J28/J7</f>
        <v>0.17670601625563215</v>
      </c>
      <c r="K37" s="72"/>
      <c r="L37" s="316"/>
    </row>
    <row r="38" spans="2:12" ht="12.75">
      <c r="B38" s="338" t="s">
        <v>228</v>
      </c>
      <c r="C38" s="27"/>
      <c r="D38" s="28"/>
      <c r="E38" s="28"/>
      <c r="F38" s="28"/>
      <c r="G38" s="214">
        <f>G29/G8</f>
        <v>0.07207802329937836</v>
      </c>
      <c r="H38" s="214">
        <f>H29/H8</f>
        <v>0.270828832611292</v>
      </c>
      <c r="I38" s="311">
        <f>COUNT('Spec Analysis_ScreenSize'!R71:R119)</f>
        <v>49</v>
      </c>
      <c r="J38" s="350">
        <f>J29/J8</f>
        <v>0.1644398203052429</v>
      </c>
      <c r="K38" s="321"/>
      <c r="L38" s="322"/>
    </row>
    <row r="39" spans="2:12" ht="12.75">
      <c r="B39" s="225"/>
      <c r="C39" s="313"/>
      <c r="D39" s="313"/>
      <c r="E39" s="313"/>
      <c r="F39" s="313"/>
      <c r="G39" s="313"/>
      <c r="H39" s="313"/>
      <c r="I39" s="313"/>
      <c r="J39" s="225"/>
      <c r="K39" s="354"/>
      <c r="L39" s="314"/>
    </row>
    <row r="40" spans="2:12" ht="12.75">
      <c r="B40" s="355"/>
      <c r="C40" s="321"/>
      <c r="D40" s="321"/>
      <c r="E40" s="321"/>
      <c r="F40" s="321"/>
      <c r="G40" s="321"/>
      <c r="H40" s="321"/>
      <c r="I40" s="337">
        <f>SUM(I35:I38)</f>
        <v>109</v>
      </c>
      <c r="J40" s="324">
        <f>(AVERAGE('Spec Analysis_ScreenSize'!U11:U119)-AVERAGE('Spec Analysis_ScreenSize'!V11:V119))/AVERAGE('Spec Analysis_ScreenSize'!U11:U119)</f>
        <v>0.15507898065578096</v>
      </c>
      <c r="K40" s="325" t="s">
        <v>53</v>
      </c>
      <c r="L40" s="322"/>
    </row>
    <row r="41" spans="2:7" ht="25.5">
      <c r="B41" s="217"/>
      <c r="C41" s="356" t="s">
        <v>49</v>
      </c>
      <c r="D41" s="356" t="s">
        <v>190</v>
      </c>
      <c r="E41" s="356" t="s">
        <v>191</v>
      </c>
      <c r="F41" s="356" t="s">
        <v>241</v>
      </c>
      <c r="G41" s="357" t="s">
        <v>77</v>
      </c>
    </row>
    <row r="42" spans="2:7" ht="12.75">
      <c r="B42" s="364" t="s">
        <v>75</v>
      </c>
      <c r="C42" s="358">
        <f>COUNT('Spec Analysis_ScreenSize'!T2:T10)</f>
        <v>9</v>
      </c>
      <c r="D42" s="26">
        <f>AVERAGE('Spec Analysis_ScreenSize'!U2:U10)</f>
        <v>7.4068485918282585</v>
      </c>
      <c r="E42" s="26">
        <f>AVERAGE('Spec Analysis_ScreenSize'!V2:V10)</f>
        <v>6.170073713448264</v>
      </c>
      <c r="F42" s="26">
        <f>D42-E42</f>
        <v>1.2367748783799941</v>
      </c>
      <c r="G42" s="359">
        <f>F42/D42</f>
        <v>0.16697720535890104</v>
      </c>
    </row>
    <row r="43" spans="2:12" ht="12.75">
      <c r="B43" s="364" t="s">
        <v>76</v>
      </c>
      <c r="C43" s="358">
        <f>COUNT('Spec Analysis_ScreenSize'!T120:T142)</f>
        <v>23</v>
      </c>
      <c r="D43" s="358">
        <f>AVERAGE('Spec Analysis_ScreenSize'!U120:U142)</f>
        <v>280.81142598039077</v>
      </c>
      <c r="E43" s="358">
        <f>AVERAGE('Spec Analysis_ScreenSize'!V120:V142)</f>
        <v>225.24904787609393</v>
      </c>
      <c r="F43" s="26">
        <f>D43-E43</f>
        <v>55.56237810429684</v>
      </c>
      <c r="G43" s="359">
        <f>F43/D43</f>
        <v>0.19786366566215435</v>
      </c>
      <c r="L43" s="239"/>
    </row>
    <row r="44" spans="2:11" ht="12.75">
      <c r="B44" s="224" t="s">
        <v>89</v>
      </c>
      <c r="C44" s="360">
        <f>I40</f>
        <v>109</v>
      </c>
      <c r="D44" s="358">
        <f>AVERAGE('Spec Analysis_ScreenSize'!U11:U119)</f>
        <v>30.26134934197273</v>
      </c>
      <c r="E44" s="358">
        <f>AVERAGE('Spec Analysis_ScreenSize'!V11:V119)</f>
        <v>25.56845013275111</v>
      </c>
      <c r="F44" s="26">
        <f>D44-E44</f>
        <v>4.692899209221618</v>
      </c>
      <c r="G44" s="359">
        <f>F44/D44</f>
        <v>0.15507898065578096</v>
      </c>
      <c r="K44" s="208"/>
    </row>
    <row r="45" spans="2:7" ht="12.75">
      <c r="B45" s="365" t="s">
        <v>240</v>
      </c>
      <c r="C45" s="361">
        <f>SUM(C42:C44)</f>
        <v>141</v>
      </c>
      <c r="D45" s="361">
        <f>'Spec Analysis_ScreenSize'!U143</f>
        <v>69.67242207908136</v>
      </c>
      <c r="E45" s="361">
        <f>'Spec Analysis_ScreenSize'!V143</f>
        <v>56.90226829107138</v>
      </c>
      <c r="F45" s="362">
        <f>D45-E45</f>
        <v>12.770153788009978</v>
      </c>
      <c r="G45" s="363">
        <f>F45/D45</f>
        <v>0.18328850077172965</v>
      </c>
    </row>
  </sheetData>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codeName="Sheet10"/>
  <dimension ref="A1:N31"/>
  <sheetViews>
    <sheetView workbookViewId="0" topLeftCell="A1">
      <selection activeCell="N39" sqref="N39"/>
    </sheetView>
  </sheetViews>
  <sheetFormatPr defaultColWidth="9.140625" defaultRowHeight="12.75"/>
  <cols>
    <col min="1" max="1" width="33.00390625" style="0" customWidth="1"/>
    <col min="2" max="2" width="31.8515625" style="0" customWidth="1"/>
    <col min="3" max="3" width="18.00390625" style="0" hidden="1" customWidth="1"/>
    <col min="4" max="4" width="23.7109375" style="0" hidden="1" customWidth="1"/>
    <col min="5" max="5" width="20.28125" style="0" hidden="1" customWidth="1"/>
    <col min="6" max="6" width="24.00390625" style="0" hidden="1" customWidth="1"/>
    <col min="7" max="7" width="16.7109375" style="0" hidden="1" customWidth="1"/>
    <col min="8" max="8" width="22.00390625" style="0" hidden="1" customWidth="1"/>
    <col min="9" max="9" width="17.7109375" style="0" customWidth="1"/>
    <col min="10" max="11" width="15.421875" style="0" customWidth="1"/>
    <col min="12" max="12" width="13.8515625" style="0" customWidth="1"/>
  </cols>
  <sheetData>
    <row r="1" ht="12.75">
      <c r="A1" s="17" t="s">
        <v>201</v>
      </c>
    </row>
    <row r="4" spans="1:14" s="332" customFormat="1" ht="38.25">
      <c r="A4" s="332" t="s">
        <v>193</v>
      </c>
      <c r="B4" s="333" t="s">
        <v>197</v>
      </c>
      <c r="C4" s="333" t="s">
        <v>198</v>
      </c>
      <c r="D4" s="333" t="s">
        <v>202</v>
      </c>
      <c r="E4" s="333" t="s">
        <v>199</v>
      </c>
      <c r="F4" s="333" t="s">
        <v>203</v>
      </c>
      <c r="G4" s="333" t="s">
        <v>200</v>
      </c>
      <c r="H4" s="333" t="s">
        <v>204</v>
      </c>
      <c r="I4" s="334" t="s">
        <v>209</v>
      </c>
      <c r="J4" s="334" t="s">
        <v>210</v>
      </c>
      <c r="K4" s="334" t="s">
        <v>225</v>
      </c>
      <c r="L4" s="335" t="s">
        <v>211</v>
      </c>
      <c r="M4" s="332" t="s">
        <v>248</v>
      </c>
      <c r="N4" s="332" t="s">
        <v>249</v>
      </c>
    </row>
    <row r="5" spans="1:14" ht="12.75">
      <c r="A5" t="s">
        <v>226</v>
      </c>
      <c r="B5" s="326">
        <v>2800</v>
      </c>
      <c r="C5" s="409">
        <f>'Power Matrix'!D43</f>
        <v>280.81142598039077</v>
      </c>
      <c r="D5" s="409">
        <f>'Power Matrix'!E43</f>
        <v>225.24904787609393</v>
      </c>
      <c r="E5" s="326"/>
      <c r="F5" s="326"/>
      <c r="G5" s="326"/>
      <c r="H5" s="326"/>
      <c r="I5" s="410">
        <f>C5*8760/1000</f>
        <v>2459.9080915882228</v>
      </c>
      <c r="J5" s="410">
        <f>D5*8760/1000</f>
        <v>1973.1816593945828</v>
      </c>
      <c r="K5" s="330">
        <f>I5-J5</f>
        <v>486.72643219364</v>
      </c>
      <c r="L5" s="331">
        <f>(I5-J5)/I5</f>
        <v>0.19786366566215424</v>
      </c>
      <c r="M5" s="18">
        <f>K5*4</f>
        <v>1946.90572877456</v>
      </c>
      <c r="N5" s="420">
        <f>M5*1.54</f>
        <v>2998.2348223128224</v>
      </c>
    </row>
    <row r="6" spans="1:14" ht="12.75">
      <c r="A6" t="s">
        <v>223</v>
      </c>
      <c r="B6" s="326"/>
      <c r="C6" s="329">
        <f>'Power Matrix'!D42</f>
        <v>7.4068485918282585</v>
      </c>
      <c r="D6" s="329">
        <f>'Power Matrix'!E42</f>
        <v>6.170073713448264</v>
      </c>
      <c r="E6" s="326"/>
      <c r="F6" s="326"/>
      <c r="G6" s="326"/>
      <c r="H6" s="326"/>
      <c r="I6" s="330">
        <f>$B16*C6/1000</f>
        <v>64.88399366441554</v>
      </c>
      <c r="J6" s="330">
        <f>$B16*D6/1000</f>
        <v>54.0498457298068</v>
      </c>
      <c r="K6" s="330">
        <f>I6-J6</f>
        <v>10.834147934608744</v>
      </c>
      <c r="L6" s="331">
        <f>(I6-J6)/I6</f>
        <v>0.16697720535890098</v>
      </c>
      <c r="M6" s="18">
        <f>K6*4</f>
        <v>43.336591738434976</v>
      </c>
      <c r="N6" s="18">
        <f>M6*1.54</f>
        <v>66.73835127718986</v>
      </c>
    </row>
    <row r="7" spans="1:14" ht="12.75">
      <c r="A7" t="s">
        <v>238</v>
      </c>
      <c r="B7" s="326"/>
      <c r="C7" s="326"/>
      <c r="D7" s="326"/>
      <c r="E7" s="326"/>
      <c r="F7" s="326"/>
      <c r="G7" s="326"/>
      <c r="H7" s="326"/>
      <c r="I7" s="327"/>
      <c r="J7" s="327"/>
      <c r="K7" s="327"/>
      <c r="L7" s="328"/>
      <c r="M7" s="18"/>
      <c r="N7" s="18"/>
    </row>
    <row r="8" spans="1:14" ht="12.75">
      <c r="A8" t="s">
        <v>194</v>
      </c>
      <c r="B8" s="326">
        <v>212</v>
      </c>
      <c r="C8" s="329">
        <f>'Power Matrix'!J5</f>
        <v>15.136499999999998</v>
      </c>
      <c r="D8" s="329">
        <f>'Power Matrix'!J16</f>
        <v>13.306599099055532</v>
      </c>
      <c r="E8" s="329">
        <f>AVERAGE('Spec Analysis_ScreenSize'!W11:W22)</f>
        <v>0.6181666666666666</v>
      </c>
      <c r="F8" s="329">
        <f>AVERAGE('Spec Analysis_ScreenSize'!X11:X22)</f>
        <v>0.6181666666666666</v>
      </c>
      <c r="G8" s="329">
        <f>AVERAGE('Spec Analysis_ScreenSize'!Y11:Y22)</f>
        <v>0.5630833333333334</v>
      </c>
      <c r="H8" s="329">
        <f>AVERAGE('Spec Analysis_ScreenSize'!Z11:Z22)</f>
        <v>0.5547500000000001</v>
      </c>
      <c r="I8" s="330">
        <f aca="true" t="shared" si="0" ref="I8:J11">(C8*$B$17+E8*$C$17+G8*$D$17)/1000</f>
        <v>35.964257743199994</v>
      </c>
      <c r="J8" s="330">
        <f t="shared" si="0"/>
        <v>32.09497936883786</v>
      </c>
      <c r="K8" s="330">
        <f>I8-J8</f>
        <v>3.869278374362132</v>
      </c>
      <c r="L8" s="331">
        <f>(I8-J8)/I8</f>
        <v>0.10758677134366057</v>
      </c>
      <c r="M8" s="18">
        <f>K8*4</f>
        <v>15.477113497448528</v>
      </c>
      <c r="N8" s="18">
        <f>M8*1.54</f>
        <v>23.834754786070732</v>
      </c>
    </row>
    <row r="9" spans="1:14" ht="12.75">
      <c r="A9" t="s">
        <v>195</v>
      </c>
      <c r="B9" s="326">
        <f>2631+849</f>
        <v>3480</v>
      </c>
      <c r="C9" s="329">
        <f>'Power Matrix'!J6</f>
        <v>23.252702459637476</v>
      </c>
      <c r="D9" s="329">
        <f>'Power Matrix'!J17</f>
        <v>20.795657518079658</v>
      </c>
      <c r="E9" s="329">
        <f>AVERAGE('Spec Analysis_ScreenSize'!W23:W45)</f>
        <v>0.7633913043478261</v>
      </c>
      <c r="F9" s="329">
        <f>AVERAGE('Spec Analysis_ScreenSize'!X23:X45)</f>
        <v>0.7633913043478261</v>
      </c>
      <c r="G9" s="329">
        <f>AVERAGE('Spec Analysis_ScreenSize'!Y23:Y45)</f>
        <v>0.6377826086956522</v>
      </c>
      <c r="H9" s="329">
        <f>AVERAGE('Spec Analysis_ScreenSize'!Z23:Z45)</f>
        <v>0.6351739130434783</v>
      </c>
      <c r="I9" s="330">
        <f t="shared" si="0"/>
        <v>53.95906244055169</v>
      </c>
      <c r="J9" s="330">
        <f t="shared" si="0"/>
        <v>48.77429011084306</v>
      </c>
      <c r="K9" s="330">
        <f>I9-J9</f>
        <v>5.184772329708629</v>
      </c>
      <c r="L9" s="331">
        <f>(I9-J9)/I9</f>
        <v>0.09608714635138162</v>
      </c>
      <c r="M9" s="18">
        <f>K9*4</f>
        <v>20.739089318834516</v>
      </c>
      <c r="N9" s="18">
        <f>M9*1.54</f>
        <v>31.938197551005157</v>
      </c>
    </row>
    <row r="10" spans="1:14" ht="12.75">
      <c r="A10" t="s">
        <v>196</v>
      </c>
      <c r="B10" s="326">
        <f>6620+18673</f>
        <v>25293</v>
      </c>
      <c r="C10" s="329">
        <f>'Power Matrix'!J7</f>
        <v>27.60589165810455</v>
      </c>
      <c r="D10" s="329">
        <f>'Power Matrix'!J18</f>
        <v>22.727764518016308</v>
      </c>
      <c r="E10" s="329">
        <f>AVERAGE('Spec Analysis_ScreenSize'!W46:W70)</f>
        <v>0.7615999999999999</v>
      </c>
      <c r="F10" s="329">
        <f>AVERAGE('Spec Analysis_ScreenSize'!X46:X70)</f>
        <v>0.7615999999999999</v>
      </c>
      <c r="G10" s="329">
        <f>AVERAGE('Spec Analysis_ScreenSize'!Y46:Y70)</f>
        <v>0.6043999999999999</v>
      </c>
      <c r="H10" s="329">
        <f>AVERAGE('Spec Analysis_ScreenSize'!Z46:Z70)</f>
        <v>0.6015999999999999</v>
      </c>
      <c r="I10" s="330">
        <f t="shared" si="0"/>
        <v>63.088423008623735</v>
      </c>
      <c r="J10" s="330">
        <f t="shared" si="0"/>
        <v>52.797700944805804</v>
      </c>
      <c r="K10" s="330">
        <f>I10-J10</f>
        <v>10.290722063817931</v>
      </c>
      <c r="L10" s="331">
        <f>(I10-J10)/I10</f>
        <v>0.1631158550660121</v>
      </c>
      <c r="M10" s="18">
        <f>K10*4</f>
        <v>41.162888255271724</v>
      </c>
      <c r="N10" s="18">
        <f>M10*1.54</f>
        <v>63.390847913118456</v>
      </c>
    </row>
    <row r="11" spans="1:14" ht="12.75">
      <c r="A11" t="s">
        <v>229</v>
      </c>
      <c r="B11" s="326">
        <f>127+6451+42+5135+1273+424</f>
        <v>13452</v>
      </c>
      <c r="C11" s="329">
        <f>'Power Matrix'!J8</f>
        <v>38.60999245409696</v>
      </c>
      <c r="D11" s="329">
        <f>'Power Matrix'!J19</f>
        <v>32.26097223295847</v>
      </c>
      <c r="E11" s="329">
        <f>AVERAGE('Spec Analysis_ScreenSize'!W71:W82)</f>
        <v>0.6668333333333333</v>
      </c>
      <c r="F11" s="329">
        <f>AVERAGE('Spec Analysis_ScreenSize'!X71:X82)</f>
        <v>0.6668333333333333</v>
      </c>
      <c r="G11" s="329">
        <f>AVERAGE('Spec Analysis_ScreenSize'!Y71:Y82)</f>
        <v>0.5812499999999999</v>
      </c>
      <c r="H11" s="329">
        <f>AVERAGE('Spec Analysis_ScreenSize'!Z71:Z82)</f>
        <v>0.5812499999999999</v>
      </c>
      <c r="I11" s="330">
        <f t="shared" si="0"/>
        <v>85.75253413317712</v>
      </c>
      <c r="J11" s="330">
        <f t="shared" si="0"/>
        <v>72.36336474570788</v>
      </c>
      <c r="K11" s="330">
        <f>I11-J11</f>
        <v>13.389169387469238</v>
      </c>
      <c r="L11" s="346">
        <f>(I11-J11)/I11</f>
        <v>0.15613730279591878</v>
      </c>
      <c r="M11" s="18">
        <f>K11*4</f>
        <v>53.55667754987695</v>
      </c>
      <c r="N11" s="18">
        <f>M11*1.54</f>
        <v>82.4772834268105</v>
      </c>
    </row>
    <row r="12" spans="1:14" ht="12.75">
      <c r="A12" t="s">
        <v>239</v>
      </c>
      <c r="B12" s="326">
        <f>SUM(B8:B11)</f>
        <v>42437</v>
      </c>
      <c r="C12" s="329">
        <f>(B8*C8+B9*C9+B10*C10+B11*C11)/B12</f>
        <v>30.674783296663033</v>
      </c>
      <c r="D12" s="329">
        <f aca="true" t="shared" si="1" ref="D12:L12">($B8*D8+$B9*D9+$B10*D10+$B11*D11)/$B12</f>
        <v>25.5441674388826</v>
      </c>
      <c r="E12" s="329">
        <f t="shared" si="1"/>
        <v>0.7309905005646904</v>
      </c>
      <c r="F12" s="329">
        <f t="shared" si="1"/>
        <v>0.7309905005646904</v>
      </c>
      <c r="G12" s="329">
        <f t="shared" si="1"/>
        <v>0.5995928398550212</v>
      </c>
      <c r="H12" s="329">
        <f t="shared" si="1"/>
        <v>0.5976684501117256</v>
      </c>
      <c r="I12" s="330">
        <f t="shared" si="1"/>
        <v>69.38851785591106</v>
      </c>
      <c r="J12" s="330">
        <f t="shared" si="1"/>
        <v>58.56641369013274</v>
      </c>
      <c r="K12" s="330">
        <f t="shared" si="1"/>
        <v>10.822104165778304</v>
      </c>
      <c r="L12" s="331">
        <f t="shared" si="1"/>
        <v>0.15512972133334135</v>
      </c>
      <c r="M12" s="18">
        <f>K12*4</f>
        <v>43.28841666311322</v>
      </c>
      <c r="N12" s="18">
        <f>M12*1.54</f>
        <v>66.66416166119436</v>
      </c>
    </row>
    <row r="15" spans="1:4" ht="12.75">
      <c r="A15" t="s">
        <v>205</v>
      </c>
      <c r="B15" t="s">
        <v>206</v>
      </c>
      <c r="C15" t="s">
        <v>207</v>
      </c>
      <c r="D15" t="s">
        <v>208</v>
      </c>
    </row>
    <row r="16" spans="1:2" ht="12.75">
      <c r="A16" t="s">
        <v>223</v>
      </c>
      <c r="B16">
        <v>8760</v>
      </c>
    </row>
    <row r="17" spans="1:4" ht="12.75">
      <c r="A17" t="s">
        <v>224</v>
      </c>
      <c r="B17" s="18">
        <v>2108.856</v>
      </c>
      <c r="C17" s="18">
        <v>5417.438400000001</v>
      </c>
      <c r="D17" s="18">
        <v>1233.7056</v>
      </c>
    </row>
    <row r="19" ht="12.75">
      <c r="A19" t="s">
        <v>212</v>
      </c>
    </row>
    <row r="20" ht="12.75">
      <c r="A20" t="s">
        <v>215</v>
      </c>
    </row>
    <row r="21" ht="12.75">
      <c r="A21" t="s">
        <v>213</v>
      </c>
    </row>
    <row r="22" ht="12.75">
      <c r="A22" t="s">
        <v>214</v>
      </c>
    </row>
    <row r="24" ht="12.75">
      <c r="A24" t="s">
        <v>216</v>
      </c>
    </row>
    <row r="25" ht="12.75">
      <c r="A25" t="s">
        <v>217</v>
      </c>
    </row>
    <row r="26" ht="12.75">
      <c r="A26" t="s">
        <v>218</v>
      </c>
    </row>
    <row r="27" ht="12.75">
      <c r="A27" t="s">
        <v>219</v>
      </c>
    </row>
    <row r="28" ht="12.75">
      <c r="A28" t="s">
        <v>220</v>
      </c>
    </row>
    <row r="30" ht="12.75">
      <c r="A30" t="s">
        <v>221</v>
      </c>
    </row>
    <row r="31" ht="12.75">
      <c r="A31" t="s">
        <v>222</v>
      </c>
    </row>
  </sheetData>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11"/>
  <dimension ref="B1:X239"/>
  <sheetViews>
    <sheetView workbookViewId="0" topLeftCell="A1">
      <selection activeCell="O78" sqref="O78"/>
    </sheetView>
  </sheetViews>
  <sheetFormatPr defaultColWidth="9.140625" defaultRowHeight="12.75"/>
  <cols>
    <col min="12" max="12" width="12.8515625" style="0" customWidth="1"/>
    <col min="14" max="14" width="11.7109375" style="0" customWidth="1"/>
    <col min="22" max="22" width="22.8515625" style="0" customWidth="1"/>
  </cols>
  <sheetData>
    <row r="1" ht="12.75">
      <c r="K1" t="s">
        <v>51</v>
      </c>
    </row>
    <row r="3" spans="11:24" ht="12.75">
      <c r="K3" t="s">
        <v>55</v>
      </c>
      <c r="L3" t="s">
        <v>230</v>
      </c>
      <c r="M3" t="s">
        <v>52</v>
      </c>
      <c r="N3" t="s">
        <v>231</v>
      </c>
      <c r="O3" t="s">
        <v>52</v>
      </c>
      <c r="P3" t="s">
        <v>232</v>
      </c>
      <c r="Q3" t="s">
        <v>52</v>
      </c>
      <c r="R3" t="s">
        <v>232</v>
      </c>
      <c r="S3" t="s">
        <v>52</v>
      </c>
      <c r="T3" t="s">
        <v>232</v>
      </c>
      <c r="U3" t="s">
        <v>52</v>
      </c>
      <c r="V3" t="s">
        <v>232</v>
      </c>
      <c r="W3" t="s">
        <v>52</v>
      </c>
      <c r="X3" t="s">
        <v>232</v>
      </c>
    </row>
    <row r="4" spans="11:24" ht="12.75">
      <c r="K4">
        <v>0</v>
      </c>
      <c r="L4">
        <f>$K4*'Proposed Spec Lines'!D$5+'Proposed Spec Lines'!D$3</f>
        <v>3</v>
      </c>
      <c r="M4" s="19">
        <v>0.11</v>
      </c>
      <c r="N4">
        <f>$K4*'Proposed Spec Lines'!$D$5+'Proposed Spec Lines'!$D$3+$M4*'Proposed Spec Lines'!$D$4</f>
        <v>3.66</v>
      </c>
      <c r="O4">
        <v>0.35</v>
      </c>
      <c r="P4">
        <f>$K4*'Proposed Spec Lines'!$D$5+'Proposed Spec Lines'!$D$3+$O4*'Proposed Spec Lines'!$D$4</f>
        <v>5.1</v>
      </c>
      <c r="Q4">
        <v>0.48</v>
      </c>
      <c r="R4">
        <f>$K4*'Proposed Spec Lines'!$D$5+'Proposed Spec Lines'!$D$3+$Q4*'Proposed Spec Lines'!$D$4</f>
        <v>5.88</v>
      </c>
      <c r="S4">
        <v>0.78</v>
      </c>
      <c r="T4">
        <f>$K4*'Proposed Spec Lines'!$D$5+'Proposed Spec Lines'!$D$3+$S4*'Proposed Spec Lines'!$D$4</f>
        <v>7.68</v>
      </c>
      <c r="U4">
        <v>0.92</v>
      </c>
      <c r="V4">
        <f>$K4*'Proposed Spec Lines'!$D$5+'Proposed Spec Lines'!$D$3+$U4*'Proposed Spec Lines'!$D$4</f>
        <v>8.52</v>
      </c>
      <c r="W4">
        <v>1.1</v>
      </c>
      <c r="X4">
        <f>$K4*'Proposed Spec Lines'!$D$5+'Proposed Spec Lines'!$D$3+$U4*'Proposed Spec Lines'!$D$4</f>
        <v>8.52</v>
      </c>
    </row>
    <row r="5" spans="11:24" ht="12.75">
      <c r="K5">
        <v>50</v>
      </c>
      <c r="L5">
        <f>$K5*'Proposed Spec Lines'!D$5+'Proposed Spec Lines'!D$3</f>
        <v>5.5</v>
      </c>
      <c r="M5" s="19">
        <v>0.11</v>
      </c>
      <c r="N5">
        <f>$K5*'Proposed Spec Lines'!D$5+'Proposed Spec Lines'!D$3+$M5*'Proposed Spec Lines'!D$4</f>
        <v>6.16</v>
      </c>
      <c r="O5">
        <v>0.35</v>
      </c>
      <c r="P5">
        <f>$K5*'Proposed Spec Lines'!$D$5+'Proposed Spec Lines'!$D$3+$O5*'Proposed Spec Lines'!$D$4</f>
        <v>7.6</v>
      </c>
      <c r="Q5">
        <v>0.48</v>
      </c>
      <c r="R5">
        <f>$K5*'Proposed Spec Lines'!$D$5+'Proposed Spec Lines'!$D$3+$Q5*'Proposed Spec Lines'!$D$4</f>
        <v>8.379999999999999</v>
      </c>
      <c r="S5">
        <v>0.78</v>
      </c>
      <c r="T5">
        <f>$K5*'Proposed Spec Lines'!$D$5+'Proposed Spec Lines'!$D$3+$S5*'Proposed Spec Lines'!$D$4</f>
        <v>10.18</v>
      </c>
      <c r="U5">
        <v>0.92</v>
      </c>
      <c r="V5">
        <f>$K5*'Proposed Spec Lines'!$D$5+'Proposed Spec Lines'!$D$3+$U5*'Proposed Spec Lines'!$D$4</f>
        <v>11.02</v>
      </c>
      <c r="W5">
        <v>1.1</v>
      </c>
      <c r="X5">
        <f>$K5*'Proposed Spec Lines'!$D$5+'Proposed Spec Lines'!$D$3+$U5*'Proposed Spec Lines'!$D$4</f>
        <v>11.02</v>
      </c>
    </row>
    <row r="6" spans="11:24" ht="12.75">
      <c r="K6">
        <v>100</v>
      </c>
      <c r="L6">
        <f>$K6*'Proposed Spec Lines'!D$5+'Proposed Spec Lines'!D$3</f>
        <v>8</v>
      </c>
      <c r="M6" s="19">
        <v>0.11</v>
      </c>
      <c r="N6">
        <f>$K6*'Proposed Spec Lines'!D$5+'Proposed Spec Lines'!D$3+$M6*'Proposed Spec Lines'!D$4</f>
        <v>8.66</v>
      </c>
      <c r="O6">
        <v>0.35</v>
      </c>
      <c r="P6">
        <f>$K6*'Proposed Spec Lines'!$D$5+'Proposed Spec Lines'!$D$3+$O6*'Proposed Spec Lines'!$D$4</f>
        <v>10.1</v>
      </c>
      <c r="Q6">
        <v>0.48</v>
      </c>
      <c r="R6">
        <f>$K6*'Proposed Spec Lines'!$D$5+'Proposed Spec Lines'!$D$3+$Q6*'Proposed Spec Lines'!$D$4</f>
        <v>10.879999999999999</v>
      </c>
      <c r="S6">
        <v>0.78</v>
      </c>
      <c r="T6">
        <f>$K6*'Proposed Spec Lines'!$D$5+'Proposed Spec Lines'!$D$3+$S6*'Proposed Spec Lines'!$D$4</f>
        <v>12.68</v>
      </c>
      <c r="U6">
        <v>0.92</v>
      </c>
      <c r="V6">
        <f>$K6*'Proposed Spec Lines'!$D$5+'Proposed Spec Lines'!$D$3+$U6*'Proposed Spec Lines'!$D$4</f>
        <v>13.52</v>
      </c>
      <c r="W6">
        <v>1.1</v>
      </c>
      <c r="X6">
        <f>$K6*'Proposed Spec Lines'!$D$5+'Proposed Spec Lines'!$D$3+$U6*'Proposed Spec Lines'!$D$4</f>
        <v>13.52</v>
      </c>
    </row>
    <row r="7" spans="11:24" ht="12.75">
      <c r="K7">
        <v>150</v>
      </c>
      <c r="L7">
        <f>$K7*'Proposed Spec Lines'!D$5+'Proposed Spec Lines'!D$3</f>
        <v>10.5</v>
      </c>
      <c r="M7" s="19">
        <v>0.11</v>
      </c>
      <c r="N7">
        <f>$K7*'Proposed Spec Lines'!D$5+'Proposed Spec Lines'!D$3+$M7*'Proposed Spec Lines'!D$4</f>
        <v>11.16</v>
      </c>
      <c r="O7">
        <v>0.35</v>
      </c>
      <c r="P7">
        <f>$K7*'Proposed Spec Lines'!$D$5+'Proposed Spec Lines'!$D$3+$O7*'Proposed Spec Lines'!$D$4</f>
        <v>12.6</v>
      </c>
      <c r="Q7">
        <v>0.48</v>
      </c>
      <c r="R7">
        <f>$K7*'Proposed Spec Lines'!$D$5+'Proposed Spec Lines'!$D$3+$Q7*'Proposed Spec Lines'!$D$4</f>
        <v>13.379999999999999</v>
      </c>
      <c r="S7">
        <v>0.78</v>
      </c>
      <c r="T7">
        <f>$K7*'Proposed Spec Lines'!$D$5+'Proposed Spec Lines'!$D$3+$S7*'Proposed Spec Lines'!$D$4</f>
        <v>15.18</v>
      </c>
      <c r="U7">
        <v>0.92</v>
      </c>
      <c r="V7">
        <f>$K7*'Proposed Spec Lines'!$D$5+'Proposed Spec Lines'!$D$3+$U7*'Proposed Spec Lines'!$D$4</f>
        <v>16.02</v>
      </c>
      <c r="W7">
        <v>1.1</v>
      </c>
      <c r="X7">
        <f>$K7*'Proposed Spec Lines'!$D$5+'Proposed Spec Lines'!$D$3+$U7*'Proposed Spec Lines'!$D$4</f>
        <v>16.02</v>
      </c>
    </row>
    <row r="8" spans="11:24" ht="12.75">
      <c r="K8">
        <v>200</v>
      </c>
      <c r="L8">
        <f>$K8*'Proposed Spec Lines'!D$5+'Proposed Spec Lines'!D$3</f>
        <v>13</v>
      </c>
      <c r="M8" s="19">
        <v>0.11</v>
      </c>
      <c r="N8">
        <f>$K8*'Proposed Spec Lines'!D$5+'Proposed Spec Lines'!D$3+$M8*'Proposed Spec Lines'!D$4</f>
        <v>13.66</v>
      </c>
      <c r="O8">
        <v>0.35</v>
      </c>
      <c r="P8">
        <f>$K8*'Proposed Spec Lines'!$D$5+'Proposed Spec Lines'!$D$3+$O8*'Proposed Spec Lines'!$D$4</f>
        <v>15.1</v>
      </c>
      <c r="Q8">
        <v>0.48</v>
      </c>
      <c r="R8">
        <f>$K8*'Proposed Spec Lines'!$D$5+'Proposed Spec Lines'!$D$3+$Q8*'Proposed Spec Lines'!$D$4</f>
        <v>15.879999999999999</v>
      </c>
      <c r="S8">
        <v>0.78</v>
      </c>
      <c r="T8">
        <f>$K8*'Proposed Spec Lines'!$D$5+'Proposed Spec Lines'!$D$3+$S8*'Proposed Spec Lines'!$D$4</f>
        <v>17.68</v>
      </c>
      <c r="U8">
        <v>0.92</v>
      </c>
      <c r="V8">
        <f>$K8*'Proposed Spec Lines'!$D$5+'Proposed Spec Lines'!$D$3+$U8*'Proposed Spec Lines'!$D$4</f>
        <v>18.52</v>
      </c>
      <c r="W8">
        <v>1.1</v>
      </c>
      <c r="X8">
        <f>$K8*'Proposed Spec Lines'!$D$5+'Proposed Spec Lines'!$D$3+$U8*'Proposed Spec Lines'!$D$4</f>
        <v>18.52</v>
      </c>
    </row>
    <row r="24" spans="11:18" ht="12.75">
      <c r="K24" t="s">
        <v>55</v>
      </c>
      <c r="L24" t="s">
        <v>230</v>
      </c>
      <c r="M24" t="s">
        <v>52</v>
      </c>
      <c r="N24" t="s">
        <v>233</v>
      </c>
      <c r="O24" t="s">
        <v>52</v>
      </c>
      <c r="P24" t="s">
        <v>234</v>
      </c>
      <c r="Q24" t="s">
        <v>52</v>
      </c>
      <c r="R24" t="s">
        <v>235</v>
      </c>
    </row>
    <row r="25" spans="11:18" ht="12.75">
      <c r="K25">
        <v>0</v>
      </c>
      <c r="L25">
        <f>$K25*'Proposed Spec Lines'!C$5+'Proposed Spec Lines'!C$3</f>
        <v>3</v>
      </c>
      <c r="M25">
        <v>1.3</v>
      </c>
      <c r="N25">
        <f>$K25*'Proposed Spec Lines'!$C$5+'Proposed Spec Lines'!$C$3+$M25*'Proposed Spec Lines'!$C$4</f>
        <v>14.700000000000001</v>
      </c>
      <c r="O25">
        <v>1.76</v>
      </c>
      <c r="P25">
        <f>$K25*'Proposed Spec Lines'!$C$5+'Proposed Spec Lines'!$C$3+$O25*'Proposed Spec Lines'!$C$4</f>
        <v>18.84</v>
      </c>
      <c r="Q25">
        <v>2.3</v>
      </c>
      <c r="R25">
        <f>$K25*'Proposed Spec Lines'!$C$5+'Proposed Spec Lines'!$C$3+$Q25*'Proposed Spec Lines'!$C$4</f>
        <v>23.7</v>
      </c>
    </row>
    <row r="26" spans="11:18" ht="12.75">
      <c r="K26">
        <v>50</v>
      </c>
      <c r="L26">
        <f>$K26*'Proposed Spec Lines'!C$5+'Proposed Spec Lines'!C$3</f>
        <v>5.5</v>
      </c>
      <c r="M26">
        <v>1.3</v>
      </c>
      <c r="N26">
        <f>$K26*'Proposed Spec Lines'!$C$5+'Proposed Spec Lines'!$C$3+$M26*'Proposed Spec Lines'!$C$4</f>
        <v>17.200000000000003</v>
      </c>
      <c r="O26">
        <v>1.76</v>
      </c>
      <c r="P26">
        <f>$K26*'Proposed Spec Lines'!$C$5+'Proposed Spec Lines'!$C$3+$O26*'Proposed Spec Lines'!$C$4</f>
        <v>21.34</v>
      </c>
      <c r="Q26">
        <v>2.3</v>
      </c>
      <c r="R26">
        <f>$K26*'Proposed Spec Lines'!$C$5+'Proposed Spec Lines'!$C$3+$Q26*'Proposed Spec Lines'!$C$4</f>
        <v>26.2</v>
      </c>
    </row>
    <row r="27" spans="11:18" ht="12.75">
      <c r="K27" s="18">
        <v>100</v>
      </c>
      <c r="L27">
        <f>$K27*'Proposed Spec Lines'!C$5+'Proposed Spec Lines'!C$3</f>
        <v>8</v>
      </c>
      <c r="M27">
        <v>1.3</v>
      </c>
      <c r="N27">
        <f>$K27*'Proposed Spec Lines'!$C$5+'Proposed Spec Lines'!$C$3+$M27*'Proposed Spec Lines'!$C$4</f>
        <v>19.700000000000003</v>
      </c>
      <c r="O27">
        <v>1.76</v>
      </c>
      <c r="P27">
        <f>$K27*'Proposed Spec Lines'!$C$5+'Proposed Spec Lines'!$C$3+$O27*'Proposed Spec Lines'!$C$4</f>
        <v>23.84</v>
      </c>
      <c r="Q27">
        <v>2.3</v>
      </c>
      <c r="R27">
        <f>$K27*'Proposed Spec Lines'!$C$5+'Proposed Spec Lines'!$C$3+$Q27*'Proposed Spec Lines'!$C$4</f>
        <v>28.7</v>
      </c>
    </row>
    <row r="28" spans="11:18" ht="12.75">
      <c r="K28">
        <v>150</v>
      </c>
      <c r="L28">
        <f>$K28*'Proposed Spec Lines'!C$5+'Proposed Spec Lines'!C$3</f>
        <v>10.5</v>
      </c>
      <c r="M28">
        <v>1.3</v>
      </c>
      <c r="N28">
        <f>$K28*'Proposed Spec Lines'!$C$5+'Proposed Spec Lines'!$C$3+$M28*'Proposed Spec Lines'!$C$4</f>
        <v>22.200000000000003</v>
      </c>
      <c r="O28">
        <v>1.76</v>
      </c>
      <c r="P28">
        <f>$K28*'Proposed Spec Lines'!$C$5+'Proposed Spec Lines'!$C$3+$O28*'Proposed Spec Lines'!$C$4</f>
        <v>26.34</v>
      </c>
      <c r="Q28">
        <v>2.3</v>
      </c>
      <c r="R28">
        <f>$K28*'Proposed Spec Lines'!$C$5+'Proposed Spec Lines'!$C$3+$Q28*'Proposed Spec Lines'!$C$4</f>
        <v>31.2</v>
      </c>
    </row>
    <row r="29" spans="11:18" ht="12.75">
      <c r="K29">
        <v>200</v>
      </c>
      <c r="L29">
        <f>$K29*'Proposed Spec Lines'!C$5+'Proposed Spec Lines'!C$3</f>
        <v>13</v>
      </c>
      <c r="M29">
        <v>1.3</v>
      </c>
      <c r="N29">
        <f>$K29*'Proposed Spec Lines'!$C$5+'Proposed Spec Lines'!$C$3+$M29*'Proposed Spec Lines'!$C$4</f>
        <v>24.700000000000003</v>
      </c>
      <c r="O29">
        <v>1.76</v>
      </c>
      <c r="P29">
        <f>$K29*'Proposed Spec Lines'!$C$5+'Proposed Spec Lines'!$C$3+$O29*'Proposed Spec Lines'!$C$4</f>
        <v>28.84</v>
      </c>
      <c r="Q29">
        <v>2.3</v>
      </c>
      <c r="R29">
        <f>$K29*'Proposed Spec Lines'!$C$5+'Proposed Spec Lines'!$C$3+$Q29*'Proposed Spec Lines'!$C$4</f>
        <v>33.7</v>
      </c>
    </row>
    <row r="30" spans="11:18" ht="12.75">
      <c r="K30">
        <v>250</v>
      </c>
      <c r="L30">
        <f>$K30*'Proposed Spec Lines'!C$5+'Proposed Spec Lines'!C$3</f>
        <v>15.5</v>
      </c>
      <c r="M30">
        <v>1.3</v>
      </c>
      <c r="N30">
        <f>$K30*'Proposed Spec Lines'!$C$5+'Proposed Spec Lines'!$C$3+$M30*'Proposed Spec Lines'!$C$4</f>
        <v>27.200000000000003</v>
      </c>
      <c r="O30">
        <v>1.76</v>
      </c>
      <c r="P30">
        <f>$K30*'Proposed Spec Lines'!$C$5+'Proposed Spec Lines'!$C$3+$O30*'Proposed Spec Lines'!$C$4</f>
        <v>31.34</v>
      </c>
      <c r="Q30">
        <v>2.3</v>
      </c>
      <c r="R30">
        <f>$K30*'Proposed Spec Lines'!$C$5+'Proposed Spec Lines'!$C$3+$Q30*'Proposed Spec Lines'!$C$4</f>
        <v>36.2</v>
      </c>
    </row>
    <row r="31" spans="11:18" ht="12.75">
      <c r="K31">
        <v>300</v>
      </c>
      <c r="L31">
        <f>$K31*'Proposed Spec Lines'!C$5+'Proposed Spec Lines'!C$3</f>
        <v>18</v>
      </c>
      <c r="M31">
        <v>1.3</v>
      </c>
      <c r="N31">
        <f>$K31*'Proposed Spec Lines'!$C$5+'Proposed Spec Lines'!$C$3+$M31*'Proposed Spec Lines'!$C$4</f>
        <v>29.700000000000003</v>
      </c>
      <c r="O31">
        <v>1.76</v>
      </c>
      <c r="P31">
        <f>$K31*'Proposed Spec Lines'!$C$5+'Proposed Spec Lines'!$C$3+$O31*'Proposed Spec Lines'!$C$4</f>
        <v>33.84</v>
      </c>
      <c r="Q31">
        <v>2.3</v>
      </c>
      <c r="R31">
        <f>$K31*'Proposed Spec Lines'!$C$5+'Proposed Spec Lines'!$C$3+$Q31*'Proposed Spec Lines'!$C$4</f>
        <v>38.7</v>
      </c>
    </row>
    <row r="32" spans="11:18" ht="12.75">
      <c r="K32">
        <v>350</v>
      </c>
      <c r="L32">
        <f>$K32*'Proposed Spec Lines'!C$5+'Proposed Spec Lines'!C$3</f>
        <v>20.5</v>
      </c>
      <c r="M32">
        <v>1.3</v>
      </c>
      <c r="N32">
        <f>$K32*'Proposed Spec Lines'!$C$5+'Proposed Spec Lines'!$C$3+$M32*'Proposed Spec Lines'!$C$4</f>
        <v>32.2</v>
      </c>
      <c r="O32">
        <v>1.76</v>
      </c>
      <c r="P32">
        <f>$K32*'Proposed Spec Lines'!$C$5+'Proposed Spec Lines'!$C$3+$O32*'Proposed Spec Lines'!$C$4</f>
        <v>36.34</v>
      </c>
      <c r="Q32">
        <v>2.3</v>
      </c>
      <c r="R32">
        <f>$K32*'Proposed Spec Lines'!$C$5+'Proposed Spec Lines'!$C$3+$Q32*'Proposed Spec Lines'!$C$4</f>
        <v>41.2</v>
      </c>
    </row>
    <row r="33" spans="11:18" ht="12.75">
      <c r="K33">
        <v>400</v>
      </c>
      <c r="L33">
        <f>$K33*'Proposed Spec Lines'!C$5+'Proposed Spec Lines'!C$3</f>
        <v>23</v>
      </c>
      <c r="M33">
        <v>1.3</v>
      </c>
      <c r="N33">
        <f>$K33*'Proposed Spec Lines'!$C$5+'Proposed Spec Lines'!$C$3+$M33*'Proposed Spec Lines'!$C$4</f>
        <v>34.7</v>
      </c>
      <c r="O33">
        <v>1.76</v>
      </c>
      <c r="P33">
        <f>$K33*'Proposed Spec Lines'!$C$5+'Proposed Spec Lines'!$C$3+$O33*'Proposed Spec Lines'!$C$4</f>
        <v>38.84</v>
      </c>
      <c r="Q33">
        <v>2.3</v>
      </c>
      <c r="R33">
        <f>$K33*'Proposed Spec Lines'!$C$5+'Proposed Spec Lines'!$C$3+$Q33*'Proposed Spec Lines'!$C$4</f>
        <v>43.7</v>
      </c>
    </row>
    <row r="34" spans="11:18" ht="12.75">
      <c r="K34">
        <v>450</v>
      </c>
      <c r="L34">
        <f>$K34*'Proposed Spec Lines'!C$5+'Proposed Spec Lines'!C$3</f>
        <v>25.5</v>
      </c>
      <c r="M34">
        <v>1.3</v>
      </c>
      <c r="N34">
        <f>$K34*'Proposed Spec Lines'!$C$5+'Proposed Spec Lines'!$C$3+$M34*'Proposed Spec Lines'!$C$4</f>
        <v>37.2</v>
      </c>
      <c r="O34">
        <v>1.76</v>
      </c>
      <c r="P34">
        <f>$K34*'Proposed Spec Lines'!$C$5+'Proposed Spec Lines'!$C$3+$O34*'Proposed Spec Lines'!$C$4</f>
        <v>41.34</v>
      </c>
      <c r="Q34">
        <v>2.3</v>
      </c>
      <c r="R34">
        <f>$K34*'Proposed Spec Lines'!$C$5+'Proposed Spec Lines'!$C$3+$Q34*'Proposed Spec Lines'!$C$4</f>
        <v>46.2</v>
      </c>
    </row>
    <row r="47" spans="11:16" ht="12.75">
      <c r="K47" t="s">
        <v>55</v>
      </c>
      <c r="L47" t="s">
        <v>230</v>
      </c>
      <c r="M47" t="s">
        <v>52</v>
      </c>
      <c r="N47" t="s">
        <v>236</v>
      </c>
      <c r="O47" t="s">
        <v>52</v>
      </c>
      <c r="P47" t="s">
        <v>236</v>
      </c>
    </row>
    <row r="48" spans="11:16" ht="12.75">
      <c r="K48">
        <v>0</v>
      </c>
      <c r="L48">
        <f>$K48*'Proposed Spec Lines'!E$5+'Proposed Spec Lines'!E$3</f>
        <v>4</v>
      </c>
      <c r="M48">
        <v>1</v>
      </c>
      <c r="N48">
        <f>$K48*'Proposed Spec Lines'!$E$5+'Proposed Spec Lines'!$E$3+$M48*'Proposed Spec Lines'!$E$4</f>
        <v>39</v>
      </c>
      <c r="O48">
        <v>2</v>
      </c>
      <c r="P48">
        <f>$K48*'Proposed Spec Lines'!$E$5+'Proposed Spec Lines'!$E$3+$O48*'Proposed Spec Lines'!$E$4</f>
        <v>74</v>
      </c>
    </row>
    <row r="49" spans="11:16" ht="12.75">
      <c r="K49">
        <v>200</v>
      </c>
      <c r="L49">
        <f>$K49*'Proposed Spec Lines'!E$5+'Proposed Spec Lines'!E$3</f>
        <v>28</v>
      </c>
      <c r="M49">
        <v>1</v>
      </c>
      <c r="N49">
        <f>$K49*'Proposed Spec Lines'!$E$5+'Proposed Spec Lines'!$E$3+$M49*'Proposed Spec Lines'!$E$4</f>
        <v>63</v>
      </c>
      <c r="O49">
        <v>2</v>
      </c>
      <c r="P49">
        <f>$K49*'Proposed Spec Lines'!$E$5+'Proposed Spec Lines'!$E$3+$O49*'Proposed Spec Lines'!$E$4</f>
        <v>98</v>
      </c>
    </row>
    <row r="50" spans="11:16" ht="12.75">
      <c r="K50">
        <v>350</v>
      </c>
      <c r="L50">
        <f>$K50*'Proposed Spec Lines'!E$5+'Proposed Spec Lines'!E$3</f>
        <v>46</v>
      </c>
      <c r="M50">
        <v>1</v>
      </c>
      <c r="N50">
        <f>$K50*'Proposed Spec Lines'!$E$5+'Proposed Spec Lines'!$E$3+$M50*'Proposed Spec Lines'!$E$4</f>
        <v>81</v>
      </c>
      <c r="O50">
        <v>2</v>
      </c>
      <c r="P50">
        <f>$K50*'Proposed Spec Lines'!$E$5+'Proposed Spec Lines'!$E$3+$O50*'Proposed Spec Lines'!$E$4</f>
        <v>116</v>
      </c>
    </row>
    <row r="51" spans="11:16" ht="12.75">
      <c r="K51">
        <v>500</v>
      </c>
      <c r="L51">
        <f>$K51*'Proposed Spec Lines'!E$5+'Proposed Spec Lines'!E$3</f>
        <v>64</v>
      </c>
      <c r="M51">
        <v>1</v>
      </c>
      <c r="N51">
        <f>$K51*'Proposed Spec Lines'!$E$5+'Proposed Spec Lines'!$E$3+$M51*'Proposed Spec Lines'!$E$4</f>
        <v>99</v>
      </c>
      <c r="O51">
        <v>2</v>
      </c>
      <c r="P51">
        <f>$K51*'Proposed Spec Lines'!$E$5+'Proposed Spec Lines'!$E$3+$O51*'Proposed Spec Lines'!$E$4</f>
        <v>134</v>
      </c>
    </row>
    <row r="52" spans="11:16" ht="12.75">
      <c r="K52">
        <v>1000</v>
      </c>
      <c r="L52">
        <f>$K52*'Proposed Spec Lines'!E$5+'Proposed Spec Lines'!E$3</f>
        <v>124</v>
      </c>
      <c r="M52">
        <v>1</v>
      </c>
      <c r="N52">
        <f>$K52*'Proposed Spec Lines'!$E$5+'Proposed Spec Lines'!$E$3+$M52*'Proposed Spec Lines'!$E$4</f>
        <v>159</v>
      </c>
      <c r="O52">
        <v>2</v>
      </c>
      <c r="P52">
        <f>$K52*'Proposed Spec Lines'!$E$5+'Proposed Spec Lines'!$E$3+$O52*'Proposed Spec Lines'!$E$4</f>
        <v>194</v>
      </c>
    </row>
    <row r="53" spans="11:16" ht="12.75">
      <c r="K53" s="18">
        <v>2000</v>
      </c>
      <c r="L53">
        <f>$K53*'Proposed Spec Lines'!E$5+'Proposed Spec Lines'!E$3</f>
        <v>244</v>
      </c>
      <c r="M53">
        <v>1</v>
      </c>
      <c r="N53">
        <f>$K53*'Proposed Spec Lines'!$E$5+'Proposed Spec Lines'!$E$3+$M53*'Proposed Spec Lines'!$E$4</f>
        <v>279</v>
      </c>
      <c r="O53">
        <v>2</v>
      </c>
      <c r="P53">
        <f>$K53*'Proposed Spec Lines'!$E$5+'Proposed Spec Lines'!$E$3+$O53*'Proposed Spec Lines'!$E$4</f>
        <v>314</v>
      </c>
    </row>
    <row r="54" spans="11:16" ht="12.75">
      <c r="K54">
        <v>3000</v>
      </c>
      <c r="L54">
        <f>$K54*'Proposed Spec Lines'!E$5+'Proposed Spec Lines'!E$3</f>
        <v>364</v>
      </c>
      <c r="M54">
        <v>1</v>
      </c>
      <c r="N54">
        <f>$K54*'Proposed Spec Lines'!$E$5+'Proposed Spec Lines'!$E$3+$M54*'Proposed Spec Lines'!$E$4</f>
        <v>399</v>
      </c>
      <c r="O54">
        <v>2</v>
      </c>
      <c r="P54">
        <f>$K54*'Proposed Spec Lines'!$E$5+'Proposed Spec Lines'!$E$3+$O54*'Proposed Spec Lines'!$E$4</f>
        <v>434</v>
      </c>
    </row>
    <row r="55" spans="11:16" ht="12.75">
      <c r="K55">
        <v>4000</v>
      </c>
      <c r="L55">
        <f>$K55*'Proposed Spec Lines'!E$5+'Proposed Spec Lines'!E$3</f>
        <v>484</v>
      </c>
      <c r="M55">
        <v>1</v>
      </c>
      <c r="N55">
        <f>$K55*'Proposed Spec Lines'!$E$5+'Proposed Spec Lines'!$E$3+$M55*'Proposed Spec Lines'!$E$4</f>
        <v>519</v>
      </c>
      <c r="O55">
        <v>2</v>
      </c>
      <c r="P55">
        <f>$K55*'Proposed Spec Lines'!$E$5+'Proposed Spec Lines'!$E$3+$O55*'Proposed Spec Lines'!$E$4</f>
        <v>554</v>
      </c>
    </row>
    <row r="56" spans="11:16" ht="12.75">
      <c r="K56">
        <v>5000</v>
      </c>
      <c r="L56">
        <f>$K56*'Proposed Spec Lines'!E$5+'Proposed Spec Lines'!E$3</f>
        <v>604</v>
      </c>
      <c r="M56">
        <v>1</v>
      </c>
      <c r="N56">
        <f>$K56*'Proposed Spec Lines'!$E$5+'Proposed Spec Lines'!$E$3+$M56*'Proposed Spec Lines'!$E$4</f>
        <v>639</v>
      </c>
      <c r="O56">
        <v>2</v>
      </c>
      <c r="P56">
        <f>$K56*'Proposed Spec Lines'!$E$5+'Proposed Spec Lines'!$E$3+$O56*'Proposed Spec Lines'!$E$4</f>
        <v>674</v>
      </c>
    </row>
    <row r="57" spans="11:16" ht="12.75">
      <c r="K57">
        <v>6000</v>
      </c>
      <c r="L57">
        <f>$K57*'Proposed Spec Lines'!E$5+'Proposed Spec Lines'!E$3</f>
        <v>724</v>
      </c>
      <c r="M57">
        <v>1</v>
      </c>
      <c r="N57">
        <f>$K57*'Proposed Spec Lines'!$E$5+'Proposed Spec Lines'!$E$3+$M57*'Proposed Spec Lines'!$E$4</f>
        <v>759</v>
      </c>
      <c r="O57">
        <v>2</v>
      </c>
      <c r="P57">
        <f>$K57*'Proposed Spec Lines'!$E$5+'Proposed Spec Lines'!$E$3+$O57*'Proposed Spec Lines'!$E$4</f>
        <v>794</v>
      </c>
    </row>
    <row r="58" ht="12.75">
      <c r="P58" s="18"/>
    </row>
    <row r="91" ht="12.75">
      <c r="B91" s="17"/>
    </row>
    <row r="99" spans="2:3" ht="12.75">
      <c r="B99">
        <v>6.5</v>
      </c>
      <c r="C99">
        <v>0.6391526661796931</v>
      </c>
    </row>
    <row r="100" spans="2:3" ht="12.75">
      <c r="B100">
        <v>7</v>
      </c>
      <c r="C100">
        <v>0.9881422924901186</v>
      </c>
    </row>
    <row r="101" spans="2:3" ht="12.75">
      <c r="B101">
        <v>7</v>
      </c>
      <c r="C101">
        <v>0.85995085995086</v>
      </c>
    </row>
    <row r="102" spans="2:3" ht="12.75">
      <c r="B102">
        <v>7</v>
      </c>
      <c r="C102">
        <v>0.5639703512729616</v>
      </c>
    </row>
    <row r="103" spans="2:3" ht="12.75">
      <c r="B103">
        <v>7</v>
      </c>
      <c r="C103">
        <v>0.43782837127845886</v>
      </c>
    </row>
    <row r="104" spans="2:3" ht="12.75">
      <c r="B104">
        <v>7</v>
      </c>
      <c r="C104">
        <v>0.9943181818181818</v>
      </c>
    </row>
    <row r="105" spans="2:3" ht="12.75">
      <c r="B105">
        <v>7</v>
      </c>
      <c r="C105">
        <v>1.120358514724712</v>
      </c>
    </row>
    <row r="106" spans="2:3" ht="12.75">
      <c r="B106">
        <v>8</v>
      </c>
      <c r="C106">
        <v>0.9722222222222222</v>
      </c>
    </row>
    <row r="107" spans="2:3" ht="12.75">
      <c r="B107">
        <v>8</v>
      </c>
      <c r="C107">
        <v>0.9722222222222222</v>
      </c>
    </row>
    <row r="108" spans="2:3" ht="12.75">
      <c r="B108">
        <v>15</v>
      </c>
      <c r="C108">
        <v>1.1666666666666667</v>
      </c>
    </row>
    <row r="109" spans="2:3" ht="12.75">
      <c r="B109">
        <v>15</v>
      </c>
      <c r="C109">
        <v>0.858684985279686</v>
      </c>
    </row>
    <row r="110" spans="2:3" ht="12.75">
      <c r="B110">
        <v>15</v>
      </c>
      <c r="C110">
        <v>1.3257575757575757</v>
      </c>
    </row>
    <row r="111" spans="2:3" ht="12.75">
      <c r="B111">
        <v>15</v>
      </c>
      <c r="C111">
        <v>1.1904761904761905</v>
      </c>
    </row>
    <row r="112" spans="2:3" ht="12.75">
      <c r="B112">
        <v>15</v>
      </c>
      <c r="C112">
        <v>1.3257575757575757</v>
      </c>
    </row>
    <row r="113" spans="2:3" ht="12.75">
      <c r="B113">
        <v>15</v>
      </c>
      <c r="C113">
        <v>0.9249471458773785</v>
      </c>
    </row>
    <row r="114" spans="2:3" ht="12.75">
      <c r="B114">
        <v>15</v>
      </c>
      <c r="C114">
        <v>0.7163323782234957</v>
      </c>
    </row>
    <row r="115" spans="2:3" ht="12.75">
      <c r="B115">
        <v>15</v>
      </c>
      <c r="C115">
        <v>1.0057471264367817</v>
      </c>
    </row>
    <row r="116" spans="2:3" ht="12.75">
      <c r="B116">
        <v>15.00405277260778</v>
      </c>
      <c r="C116">
        <v>0.982594048287479</v>
      </c>
    </row>
    <row r="117" spans="2:3" ht="12.75">
      <c r="B117">
        <v>15.4</v>
      </c>
      <c r="C117">
        <v>0.875</v>
      </c>
    </row>
    <row r="118" spans="2:3" ht="12.75">
      <c r="B118">
        <v>15.6</v>
      </c>
      <c r="C118">
        <v>1.1437908496732025</v>
      </c>
    </row>
    <row r="119" spans="2:3" ht="12.75">
      <c r="B119">
        <v>15.6</v>
      </c>
      <c r="C119">
        <v>1.1437908496732025</v>
      </c>
    </row>
    <row r="120" spans="2:3" ht="12.75">
      <c r="B120">
        <v>17</v>
      </c>
      <c r="C120">
        <v>1.1437908496732025</v>
      </c>
    </row>
    <row r="121" spans="2:3" ht="12.75">
      <c r="B121">
        <v>17</v>
      </c>
      <c r="C121">
        <v>1.0695187165775402</v>
      </c>
    </row>
    <row r="122" spans="2:3" ht="12.75">
      <c r="B122">
        <v>17</v>
      </c>
      <c r="C122">
        <v>1.0582010582010581</v>
      </c>
    </row>
    <row r="123" spans="2:3" ht="12.75">
      <c r="B123">
        <v>17</v>
      </c>
      <c r="C123">
        <v>0.8888888888888888</v>
      </c>
    </row>
    <row r="124" spans="2:3" ht="12.75">
      <c r="B124">
        <v>17</v>
      </c>
      <c r="C124">
        <v>1.0256410256410255</v>
      </c>
    </row>
    <row r="125" spans="2:3" ht="12.75">
      <c r="B125">
        <v>17</v>
      </c>
      <c r="C125">
        <v>1.3157894736842106</v>
      </c>
    </row>
    <row r="126" spans="2:3" ht="12.75">
      <c r="B126">
        <v>17</v>
      </c>
      <c r="C126">
        <v>1.015228426395939</v>
      </c>
    </row>
    <row r="127" spans="2:3" ht="12.75">
      <c r="B127">
        <v>17</v>
      </c>
      <c r="C127">
        <v>1.342281879194631</v>
      </c>
    </row>
    <row r="128" spans="2:3" ht="12.75">
      <c r="B128">
        <v>17</v>
      </c>
      <c r="C128">
        <v>1.1976047904191616</v>
      </c>
    </row>
    <row r="129" spans="2:3" ht="12.75">
      <c r="B129">
        <v>17</v>
      </c>
      <c r="C129">
        <v>1.3071895424836601</v>
      </c>
    </row>
    <row r="130" spans="2:3" ht="12.75">
      <c r="B130">
        <v>17</v>
      </c>
      <c r="C130">
        <v>1.1428571428571428</v>
      </c>
    </row>
    <row r="131" spans="2:3" ht="12.75">
      <c r="B131">
        <v>17</v>
      </c>
      <c r="C131">
        <v>0.796812749003984</v>
      </c>
    </row>
    <row r="132" spans="2:3" ht="12.75">
      <c r="B132">
        <v>17</v>
      </c>
      <c r="C132">
        <v>0.7874015748031497</v>
      </c>
    </row>
    <row r="133" spans="2:3" ht="12.75">
      <c r="B133">
        <v>17</v>
      </c>
      <c r="C133">
        <v>0.9090909090909091</v>
      </c>
    </row>
    <row r="134" spans="2:3" ht="12.75">
      <c r="B134">
        <v>17</v>
      </c>
      <c r="C134">
        <v>1.0526315789473684</v>
      </c>
    </row>
    <row r="135" spans="2:3" ht="12.75">
      <c r="B135">
        <v>17</v>
      </c>
      <c r="C135">
        <v>0.8130081300813008</v>
      </c>
    </row>
    <row r="136" spans="2:3" ht="12.75">
      <c r="B136">
        <v>17</v>
      </c>
      <c r="C136">
        <v>0.8130081300813008</v>
      </c>
    </row>
    <row r="137" spans="2:3" ht="12.75">
      <c r="B137">
        <v>17</v>
      </c>
      <c r="C137">
        <v>1.160092807424594</v>
      </c>
    </row>
    <row r="138" spans="2:3" ht="12.75">
      <c r="B138">
        <v>17</v>
      </c>
      <c r="C138">
        <v>0.8853474988933157</v>
      </c>
    </row>
    <row r="139" spans="2:3" ht="12.75">
      <c r="B139">
        <v>17</v>
      </c>
      <c r="C139">
        <v>0.7958615200955034</v>
      </c>
    </row>
    <row r="140" spans="2:3" ht="12.75">
      <c r="B140">
        <v>17</v>
      </c>
      <c r="C140">
        <v>1.0940919037199124</v>
      </c>
    </row>
    <row r="141" spans="2:3" ht="12.75">
      <c r="B141">
        <v>17.037352301679594</v>
      </c>
      <c r="C141">
        <v>0.882223202470225</v>
      </c>
    </row>
    <row r="142" spans="2:3" ht="12.75">
      <c r="B142">
        <v>17.037352301679594</v>
      </c>
      <c r="C142">
        <v>0.882223202470225</v>
      </c>
    </row>
    <row r="143" spans="2:3" ht="12.75">
      <c r="B143">
        <v>19</v>
      </c>
      <c r="C143">
        <v>1.098901098901099</v>
      </c>
    </row>
    <row r="144" spans="2:3" ht="12.75">
      <c r="B144">
        <v>19</v>
      </c>
      <c r="C144">
        <v>1.2903225806451613</v>
      </c>
    </row>
    <row r="145" spans="2:3" ht="12.75">
      <c r="B145">
        <v>19</v>
      </c>
      <c r="C145">
        <v>0.9950248756218906</v>
      </c>
    </row>
    <row r="146" spans="2:3" ht="12.75">
      <c r="B146">
        <v>19</v>
      </c>
      <c r="C146">
        <v>1.2269938650306749</v>
      </c>
    </row>
    <row r="147" spans="2:3" ht="12.75">
      <c r="B147">
        <v>19</v>
      </c>
      <c r="C147">
        <v>1.0309278350515463</v>
      </c>
    </row>
    <row r="148" spans="2:3" ht="12.75">
      <c r="B148">
        <v>19</v>
      </c>
      <c r="C148">
        <v>1.1428571428571428</v>
      </c>
    </row>
    <row r="149" spans="2:3" ht="12.75">
      <c r="B149">
        <v>19</v>
      </c>
      <c r="C149">
        <v>1.0582010582010581</v>
      </c>
    </row>
    <row r="150" spans="2:3" ht="12.75">
      <c r="B150">
        <v>19</v>
      </c>
      <c r="C150">
        <v>0.7547169811320755</v>
      </c>
    </row>
    <row r="151" spans="2:3" ht="12.75">
      <c r="B151">
        <v>19</v>
      </c>
      <c r="C151">
        <v>0.5847953216374269</v>
      </c>
    </row>
    <row r="152" spans="2:3" ht="12.75">
      <c r="B152">
        <v>19</v>
      </c>
      <c r="C152">
        <v>1</v>
      </c>
    </row>
    <row r="153" spans="2:3" ht="12.75">
      <c r="B153">
        <v>19</v>
      </c>
      <c r="C153">
        <v>1.1428571428571428</v>
      </c>
    </row>
    <row r="154" spans="2:3" ht="12.75">
      <c r="B154">
        <v>19</v>
      </c>
      <c r="C154">
        <v>1.2269938650306749</v>
      </c>
    </row>
    <row r="155" spans="2:3" ht="12.75">
      <c r="B155">
        <v>19</v>
      </c>
      <c r="C155">
        <v>1.1764705882352942</v>
      </c>
    </row>
    <row r="156" spans="2:3" ht="12.75">
      <c r="B156">
        <v>19</v>
      </c>
      <c r="C156">
        <v>1.2269938650306749</v>
      </c>
    </row>
    <row r="157" spans="2:3" ht="12.75">
      <c r="B157">
        <v>19</v>
      </c>
      <c r="C157">
        <v>1.1764705882352942</v>
      </c>
    </row>
    <row r="158" spans="2:3" ht="12.75">
      <c r="B158">
        <v>19</v>
      </c>
      <c r="C158">
        <v>1.0582010582010581</v>
      </c>
    </row>
    <row r="159" spans="2:3" ht="12.75">
      <c r="B159">
        <v>19</v>
      </c>
      <c r="C159">
        <v>1.0695187165775402</v>
      </c>
    </row>
    <row r="160" spans="2:3" ht="12.75">
      <c r="B160">
        <v>19</v>
      </c>
      <c r="C160">
        <v>0.7326007326007326</v>
      </c>
    </row>
    <row r="161" spans="2:3" ht="12.75">
      <c r="B161">
        <v>19</v>
      </c>
      <c r="C161">
        <v>0.9487666034155597</v>
      </c>
    </row>
    <row r="162" spans="2:3" ht="12.75">
      <c r="B162">
        <v>19</v>
      </c>
      <c r="C162">
        <v>0.7874015748031497</v>
      </c>
    </row>
    <row r="163" spans="2:3" ht="12.75">
      <c r="B163">
        <v>19</v>
      </c>
      <c r="C163">
        <v>0.9478672985781991</v>
      </c>
    </row>
    <row r="164" spans="2:3" ht="12.75">
      <c r="B164">
        <v>19</v>
      </c>
      <c r="C164">
        <v>0.8810572687224669</v>
      </c>
    </row>
    <row r="165" spans="2:3" ht="12.75">
      <c r="B165">
        <v>19</v>
      </c>
      <c r="C165">
        <v>1.0695187165775402</v>
      </c>
    </row>
    <row r="166" spans="2:3" ht="12.75">
      <c r="B166">
        <v>19.05</v>
      </c>
      <c r="C166">
        <v>0.6779661016949152</v>
      </c>
    </row>
    <row r="167" spans="2:3" ht="12.75">
      <c r="B167">
        <v>19.05</v>
      </c>
      <c r="C167">
        <v>0.6711409395973155</v>
      </c>
    </row>
    <row r="168" spans="2:3" ht="12.75">
      <c r="B168">
        <v>20</v>
      </c>
      <c r="C168">
        <v>0.6514657980456026</v>
      </c>
    </row>
    <row r="169" spans="2:3" ht="12.75">
      <c r="B169">
        <v>20</v>
      </c>
      <c r="C169">
        <v>0.8064516129032258</v>
      </c>
    </row>
    <row r="170" spans="2:3" ht="12.75">
      <c r="B170">
        <v>20</v>
      </c>
      <c r="C170">
        <v>0.7347538574577517</v>
      </c>
    </row>
    <row r="171" spans="2:3" ht="12.75">
      <c r="B171">
        <v>20</v>
      </c>
      <c r="C171">
        <v>0.7399186089530151</v>
      </c>
    </row>
    <row r="172" spans="2:3" ht="12.75">
      <c r="B172">
        <v>20.1</v>
      </c>
      <c r="C172">
        <v>0.7561436672967864</v>
      </c>
    </row>
    <row r="173" spans="2:3" ht="12.75">
      <c r="B173">
        <v>20.1</v>
      </c>
      <c r="C173">
        <v>0.7142857142857143</v>
      </c>
    </row>
    <row r="174" spans="2:3" ht="12.75">
      <c r="B174">
        <v>20.1</v>
      </c>
      <c r="C174">
        <v>0.746268656716418</v>
      </c>
    </row>
    <row r="175" spans="2:3" ht="12.75">
      <c r="B175">
        <v>20.1</v>
      </c>
      <c r="C175">
        <v>0.6666666666666666</v>
      </c>
    </row>
    <row r="176" spans="2:3" ht="12.75">
      <c r="B176">
        <v>20.1</v>
      </c>
      <c r="C176">
        <v>0.6644518272425249</v>
      </c>
    </row>
    <row r="177" spans="2:3" ht="12.75">
      <c r="B177">
        <v>20.1</v>
      </c>
      <c r="C177">
        <v>0.9049773755656109</v>
      </c>
    </row>
    <row r="178" spans="2:3" ht="12.75">
      <c r="B178">
        <v>20.1</v>
      </c>
      <c r="C178">
        <v>0.9049773755656109</v>
      </c>
    </row>
    <row r="179" spans="2:3" ht="12.75">
      <c r="B179">
        <v>20.12335030452074</v>
      </c>
      <c r="C179">
        <v>0.9573958831977022</v>
      </c>
    </row>
    <row r="180" spans="2:3" ht="12.75">
      <c r="B180">
        <v>21.99528986773197</v>
      </c>
      <c r="C180">
        <v>0.8833922261484098</v>
      </c>
    </row>
    <row r="181" spans="2:3" ht="12.75">
      <c r="B181">
        <v>22</v>
      </c>
      <c r="C181">
        <v>0.7142857142857143</v>
      </c>
    </row>
    <row r="182" spans="2:3" ht="12.75">
      <c r="B182">
        <v>22</v>
      </c>
      <c r="C182">
        <v>1.0582010582010581</v>
      </c>
    </row>
    <row r="183" spans="2:3" ht="12.75">
      <c r="B183">
        <v>22</v>
      </c>
      <c r="C183">
        <v>1.1111111111111112</v>
      </c>
    </row>
    <row r="184" spans="2:3" ht="12.75">
      <c r="B184">
        <v>22</v>
      </c>
      <c r="C184">
        <v>0.39674667724657803</v>
      </c>
    </row>
    <row r="185" spans="2:3" ht="12.75">
      <c r="B185">
        <v>22</v>
      </c>
      <c r="C185">
        <v>1.1428571428571428</v>
      </c>
    </row>
    <row r="186" spans="2:3" ht="12.75">
      <c r="B186">
        <v>22</v>
      </c>
      <c r="C186">
        <v>1.1428571428571428</v>
      </c>
    </row>
    <row r="187" spans="2:3" ht="12.75">
      <c r="B187">
        <v>22</v>
      </c>
      <c r="C187">
        <v>0.7168458781362007</v>
      </c>
    </row>
    <row r="188" spans="2:3" ht="12.75">
      <c r="B188">
        <v>22</v>
      </c>
      <c r="C188">
        <v>0.9615384615384616</v>
      </c>
    </row>
    <row r="189" spans="2:3" ht="12.75">
      <c r="B189">
        <v>22</v>
      </c>
      <c r="C189">
        <v>0.6896551724137931</v>
      </c>
    </row>
    <row r="190" spans="2:3" ht="12.75">
      <c r="B190">
        <v>22</v>
      </c>
      <c r="C190">
        <v>0.6896551724137931</v>
      </c>
    </row>
    <row r="191" spans="2:3" ht="12.75">
      <c r="B191">
        <v>22</v>
      </c>
      <c r="C191">
        <v>0.7407407407407407</v>
      </c>
    </row>
    <row r="192" spans="2:3" ht="12.75">
      <c r="B192">
        <v>22</v>
      </c>
      <c r="C192">
        <v>0.5970149253731343</v>
      </c>
    </row>
    <row r="193" spans="2:3" ht="12.75">
      <c r="B193">
        <v>22</v>
      </c>
      <c r="C193">
        <v>0.6872852233676976</v>
      </c>
    </row>
    <row r="194" spans="2:3" ht="12.75">
      <c r="B194">
        <v>22</v>
      </c>
      <c r="C194">
        <v>0.7961783439490446</v>
      </c>
    </row>
    <row r="195" spans="2:3" ht="12.75">
      <c r="B195">
        <v>22</v>
      </c>
      <c r="C195">
        <v>1.2422360248447204</v>
      </c>
    </row>
    <row r="196" spans="2:3" ht="12.75">
      <c r="B196">
        <v>22</v>
      </c>
      <c r="C196">
        <v>1.0695187165775402</v>
      </c>
    </row>
    <row r="197" spans="2:3" ht="12.75">
      <c r="B197">
        <v>22</v>
      </c>
      <c r="C197">
        <v>1.0695187165775402</v>
      </c>
    </row>
    <row r="198" spans="2:3" ht="12.75">
      <c r="B198">
        <v>22.112286090432676</v>
      </c>
      <c r="C198">
        <v>0.7137758743754461</v>
      </c>
    </row>
    <row r="199" spans="2:3" ht="12.75">
      <c r="B199">
        <v>22.112286090432676</v>
      </c>
      <c r="C199">
        <v>0.7821666014861166</v>
      </c>
    </row>
    <row r="200" spans="2:3" ht="12.75">
      <c r="B200">
        <v>24</v>
      </c>
      <c r="C200">
        <v>0.4358247984310307</v>
      </c>
    </row>
    <row r="201" spans="2:3" ht="12.75">
      <c r="B201">
        <v>24</v>
      </c>
      <c r="C201">
        <v>1.2987012987012987</v>
      </c>
    </row>
    <row r="202" spans="2:3" ht="12.75">
      <c r="B202">
        <v>24</v>
      </c>
      <c r="C202">
        <v>0.5</v>
      </c>
    </row>
    <row r="203" spans="2:3" ht="12.75">
      <c r="B203">
        <v>24</v>
      </c>
      <c r="C203">
        <v>0.6711409395973155</v>
      </c>
    </row>
    <row r="204" spans="2:3" ht="12.75">
      <c r="B204">
        <v>24</v>
      </c>
      <c r="C204">
        <v>0.4922471080482402</v>
      </c>
    </row>
    <row r="205" spans="2:3" ht="12.75">
      <c r="B205">
        <v>24</v>
      </c>
      <c r="C205">
        <v>0.704225352112676</v>
      </c>
    </row>
    <row r="206" spans="2:3" ht="12.75">
      <c r="B206">
        <v>24</v>
      </c>
      <c r="C206">
        <v>0.704225352112676</v>
      </c>
    </row>
    <row r="207" spans="2:3" ht="12.75">
      <c r="B207">
        <v>24.06779438414441</v>
      </c>
      <c r="C207">
        <v>0.48567265662943176</v>
      </c>
    </row>
    <row r="208" spans="2:3" ht="12.75">
      <c r="B208">
        <v>24.1</v>
      </c>
      <c r="C208">
        <v>1.0443864229765014</v>
      </c>
    </row>
    <row r="209" spans="2:3" ht="12.75">
      <c r="B209">
        <v>24.1</v>
      </c>
      <c r="C209">
        <v>0.6395906619763352</v>
      </c>
    </row>
    <row r="210" spans="2:3" ht="12.75">
      <c r="B210">
        <v>24.1</v>
      </c>
      <c r="C210">
        <v>0.5512679162072767</v>
      </c>
    </row>
    <row r="211" spans="2:3" ht="12.75">
      <c r="B211">
        <v>25.54</v>
      </c>
      <c r="C211">
        <v>0.5555555555555556</v>
      </c>
    </row>
    <row r="212" spans="2:3" ht="12.75">
      <c r="B212">
        <v>25.54</v>
      </c>
      <c r="C212">
        <v>0.5555555555555556</v>
      </c>
    </row>
    <row r="213" spans="2:3" ht="12.75">
      <c r="B213">
        <v>26</v>
      </c>
      <c r="C213">
        <v>0.6644518272425249</v>
      </c>
    </row>
    <row r="214" spans="2:3" ht="12.75">
      <c r="B214">
        <v>26</v>
      </c>
      <c r="C214">
        <v>0.42735042735042733</v>
      </c>
    </row>
    <row r="215" spans="2:3" ht="12.75">
      <c r="B215">
        <v>27</v>
      </c>
      <c r="C215">
        <v>0.547945205479452</v>
      </c>
    </row>
    <row r="216" spans="2:3" ht="12.75">
      <c r="B216">
        <v>27</v>
      </c>
      <c r="C216">
        <v>0.45454545454545453</v>
      </c>
    </row>
    <row r="217" spans="2:3" ht="12.75">
      <c r="B217">
        <v>31.5</v>
      </c>
      <c r="C217">
        <v>0.8883248730964467</v>
      </c>
    </row>
    <row r="218" spans="2:3" ht="12.75">
      <c r="B218">
        <v>32</v>
      </c>
      <c r="C218">
        <v>0.9020618556701031</v>
      </c>
    </row>
    <row r="219" spans="2:3" ht="12.75">
      <c r="B219">
        <v>40</v>
      </c>
      <c r="C219">
        <v>0.6227758007117438</v>
      </c>
    </row>
    <row r="220" spans="2:3" ht="12.75">
      <c r="B220">
        <v>40</v>
      </c>
      <c r="C220">
        <v>1.0144927536231885</v>
      </c>
    </row>
    <row r="221" spans="2:3" ht="12.75">
      <c r="B221">
        <v>42</v>
      </c>
      <c r="C221">
        <v>1</v>
      </c>
    </row>
    <row r="222" spans="2:3" ht="12.75">
      <c r="B222">
        <v>46</v>
      </c>
      <c r="C222">
        <v>0.7028112449799196</v>
      </c>
    </row>
    <row r="223" spans="2:3" ht="12.75">
      <c r="B223">
        <v>46</v>
      </c>
      <c r="C223">
        <v>0.6363636363636364</v>
      </c>
    </row>
    <row r="224" spans="2:3" ht="12.75">
      <c r="B224">
        <v>46</v>
      </c>
      <c r="C224">
        <v>1.2962962962962963</v>
      </c>
    </row>
    <row r="225" spans="2:3" ht="12.75">
      <c r="B225">
        <v>46</v>
      </c>
      <c r="C225">
        <v>0.8974358974358975</v>
      </c>
    </row>
    <row r="226" spans="2:3" ht="12.75">
      <c r="B226">
        <v>47.6</v>
      </c>
      <c r="C226">
        <v>0.813953488372093</v>
      </c>
    </row>
    <row r="227" spans="2:3" ht="12.75">
      <c r="B227">
        <v>47.6</v>
      </c>
      <c r="C227">
        <v>0.813953488372093</v>
      </c>
    </row>
    <row r="228" spans="2:3" ht="12.75">
      <c r="B228">
        <v>47.6</v>
      </c>
      <c r="C228">
        <v>0.813953488372093</v>
      </c>
    </row>
    <row r="229" spans="2:3" ht="12.75">
      <c r="B229">
        <v>50</v>
      </c>
      <c r="C229">
        <v>1</v>
      </c>
    </row>
    <row r="230" spans="2:3" ht="12.75">
      <c r="B230">
        <v>53.9</v>
      </c>
      <c r="C230">
        <v>0.9459459459459459</v>
      </c>
    </row>
    <row r="231" spans="2:3" ht="12.75">
      <c r="B231">
        <v>53.9</v>
      </c>
      <c r="C231">
        <v>0.9459459459459459</v>
      </c>
    </row>
    <row r="232" spans="2:3" ht="12.75">
      <c r="B232">
        <v>53.9</v>
      </c>
      <c r="C232">
        <v>0.9459459459459459</v>
      </c>
    </row>
    <row r="233" spans="2:3" ht="12.75">
      <c r="B233">
        <v>57</v>
      </c>
      <c r="C233">
        <v>0.8928571428571429</v>
      </c>
    </row>
    <row r="234" spans="2:3" ht="12.75">
      <c r="B234">
        <v>57</v>
      </c>
      <c r="C234">
        <v>0.8641975308641975</v>
      </c>
    </row>
    <row r="235" spans="2:3" ht="12.75">
      <c r="B235">
        <v>60</v>
      </c>
      <c r="C235">
        <v>1</v>
      </c>
    </row>
    <row r="236" spans="2:3" ht="12.75">
      <c r="B236">
        <v>63</v>
      </c>
      <c r="C236">
        <v>1</v>
      </c>
    </row>
    <row r="237" spans="2:3" ht="12.75">
      <c r="B237">
        <v>65</v>
      </c>
      <c r="C237">
        <v>0.9333333333333333</v>
      </c>
    </row>
    <row r="238" spans="2:3" ht="12.75">
      <c r="B238">
        <v>65</v>
      </c>
      <c r="C238">
        <v>0.7625272331154684</v>
      </c>
    </row>
    <row r="239" spans="2:3" ht="12.75">
      <c r="B239">
        <v>82</v>
      </c>
      <c r="C239">
        <v>0.5852842809364549</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Lawrence Berkeley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MCMcWhinney</dc:creator>
  <cp:keywords/>
  <dc:description/>
  <cp:lastModifiedBy>ICF</cp:lastModifiedBy>
  <cp:lastPrinted>2008-10-15T16:10:19Z</cp:lastPrinted>
  <dcterms:created xsi:type="dcterms:W3CDTF">2008-04-14T14:56:55Z</dcterms:created>
  <dcterms:modified xsi:type="dcterms:W3CDTF">2008-10-23T12:14:31Z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